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4.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5.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6.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7.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8.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9.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10.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11.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12.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13.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drawings/drawing14.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drawings/drawing15.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drawings/drawing16.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17.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drawings/drawing18.xml" ContentType="application/vnd.openxmlformats-officedocument.drawing+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drawings/drawing19.xml" ContentType="application/vnd.openxmlformats-officedocument.drawing+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drawings/drawing20.xml" ContentType="application/vnd.openxmlformats-officedocument.drawing+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drawings/drawing21.xml" ContentType="application/vnd.openxmlformats-officedocument.drawing+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drawings/drawing22.xml" ContentType="application/vnd.openxmlformats-officedocument.drawing+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drawings/drawing23.xml" ContentType="application/vnd.openxmlformats-officedocument.drawing+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drawings/drawing24.xml" ContentType="application/vnd.openxmlformats-officedocument.drawing+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drawings/drawing25.xml" ContentType="application/vnd.openxmlformats-officedocument.drawing+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drawings/drawing26.xml" ContentType="application/vnd.openxmlformats-officedocument.drawing+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drawings/drawing27.xml" ContentType="application/vnd.openxmlformats-officedocument.drawing+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308.xml" ContentType="application/vnd.openxmlformats-officedocument.drawingml.chart+xml"/>
  <Override PartName="/xl/charts/chart309.xml" ContentType="application/vnd.openxmlformats-officedocument.drawingml.chart+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drawings/drawing28.xml" ContentType="application/vnd.openxmlformats-officedocument.drawing+xml"/>
  <Override PartName="/xl/charts/chart313.xml" ContentType="application/vnd.openxmlformats-officedocument.drawingml.chart+xml"/>
  <Override PartName="/xl/charts/chart314.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charts/chart322.xml" ContentType="application/vnd.openxmlformats-officedocument.drawingml.chart+xml"/>
  <Override PartName="/xl/charts/chart323.xml" ContentType="application/vnd.openxmlformats-officedocument.drawingml.chart+xml"/>
  <Override PartName="/xl/charts/chart324.xml" ContentType="application/vnd.openxmlformats-officedocument.drawingml.chart+xml"/>
  <Override PartName="/xl/drawings/drawing29.xml" ContentType="application/vnd.openxmlformats-officedocument.drawing+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drawings/drawing30.xml" ContentType="application/vnd.openxmlformats-officedocument.drawing+xml"/>
  <Override PartName="/xl/charts/chart337.xml" ContentType="application/vnd.openxmlformats-officedocument.drawingml.chart+xml"/>
  <Override PartName="/xl/charts/chart338.xml" ContentType="application/vnd.openxmlformats-officedocument.drawingml.chart+xml"/>
  <Override PartName="/xl/charts/chart339.xml" ContentType="application/vnd.openxmlformats-officedocument.drawingml.chart+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charts/chart343.xml" ContentType="application/vnd.openxmlformats-officedocument.drawingml.chart+xml"/>
  <Override PartName="/xl/charts/chart344.xml" ContentType="application/vnd.openxmlformats-officedocument.drawingml.chart+xml"/>
  <Override PartName="/xl/charts/chart345.xml" ContentType="application/vnd.openxmlformats-officedocument.drawingml.chart+xml"/>
  <Override PartName="/xl/charts/chart346.xml" ContentType="application/vnd.openxmlformats-officedocument.drawingml.chart+xml"/>
  <Override PartName="/xl/charts/chart347.xml" ContentType="application/vnd.openxmlformats-officedocument.drawingml.chart+xml"/>
  <Override PartName="/xl/charts/chart348.xml" ContentType="application/vnd.openxmlformats-officedocument.drawingml.chart+xml"/>
  <Override PartName="/xl/drawings/drawing31.xml" ContentType="application/vnd.openxmlformats-officedocument.drawing+xml"/>
  <Override PartName="/xl/charts/chart349.xml" ContentType="application/vnd.openxmlformats-officedocument.drawingml.chart+xml"/>
  <Override PartName="/xl/charts/chart350.xml" ContentType="application/vnd.openxmlformats-officedocument.drawingml.chart+xml"/>
  <Override PartName="/xl/charts/chart351.xml" ContentType="application/vnd.openxmlformats-officedocument.drawingml.chart+xml"/>
  <Override PartName="/xl/charts/chart352.xml" ContentType="application/vnd.openxmlformats-officedocument.drawingml.chart+xml"/>
  <Override PartName="/xl/charts/chart353.xml" ContentType="application/vnd.openxmlformats-officedocument.drawingml.chart+xml"/>
  <Override PartName="/xl/charts/chart354.xml" ContentType="application/vnd.openxmlformats-officedocument.drawingml.chart+xml"/>
  <Override PartName="/xl/charts/chart355.xml" ContentType="application/vnd.openxmlformats-officedocument.drawingml.chart+xml"/>
  <Override PartName="/xl/charts/chart356.xml" ContentType="application/vnd.openxmlformats-officedocument.drawingml.chart+xml"/>
  <Override PartName="/xl/charts/chart357.xml" ContentType="application/vnd.openxmlformats-officedocument.drawingml.chart+xml"/>
  <Override PartName="/xl/charts/chart358.xml" ContentType="application/vnd.openxmlformats-officedocument.drawingml.chart+xml"/>
  <Override PartName="/xl/charts/chart359.xml" ContentType="application/vnd.openxmlformats-officedocument.drawingml.chart+xml"/>
  <Override PartName="/xl/charts/chart360.xml" ContentType="application/vnd.openxmlformats-officedocument.drawingml.chart+xml"/>
  <Override PartName="/xl/drawings/drawing32.xml" ContentType="application/vnd.openxmlformats-officedocument.drawing+xml"/>
  <Override PartName="/xl/charts/chart361.xml" ContentType="application/vnd.openxmlformats-officedocument.drawingml.chart+xml"/>
  <Override PartName="/xl/charts/chart362.xml" ContentType="application/vnd.openxmlformats-officedocument.drawingml.chart+xml"/>
  <Override PartName="/xl/charts/chart363.xml" ContentType="application/vnd.openxmlformats-officedocument.drawingml.chart+xml"/>
  <Override PartName="/xl/charts/chart364.xml" ContentType="application/vnd.openxmlformats-officedocument.drawingml.chart+xml"/>
  <Override PartName="/xl/charts/chart365.xml" ContentType="application/vnd.openxmlformats-officedocument.drawingml.chart+xml"/>
  <Override PartName="/xl/charts/chart366.xml" ContentType="application/vnd.openxmlformats-officedocument.drawingml.chart+xml"/>
  <Override PartName="/xl/charts/chart367.xml" ContentType="application/vnd.openxmlformats-officedocument.drawingml.chart+xml"/>
  <Override PartName="/xl/charts/chart368.xml" ContentType="application/vnd.openxmlformats-officedocument.drawingml.chart+xml"/>
  <Override PartName="/xl/charts/chart369.xml" ContentType="application/vnd.openxmlformats-officedocument.drawingml.chart+xml"/>
  <Override PartName="/xl/charts/chart370.xml" ContentType="application/vnd.openxmlformats-officedocument.drawingml.chart+xml"/>
  <Override PartName="/xl/charts/chart371.xml" ContentType="application/vnd.openxmlformats-officedocument.drawingml.chart+xml"/>
  <Override PartName="/xl/charts/chart37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8"/>
  <workbookPr/>
  <mc:AlternateContent xmlns:mc="http://schemas.openxmlformats.org/markup-compatibility/2006">
    <mc:Choice Requires="x15">
      <x15ac:absPath xmlns:x15ac="http://schemas.microsoft.com/office/spreadsheetml/2010/11/ac" url="https://seafishcouk-my.sharepoint.com/personal/graham_anderson_seafish_co_uk/Documents/Documents/"/>
    </mc:Choice>
  </mc:AlternateContent>
  <xr:revisionPtr revIDLastSave="0" documentId="8_{A5CE8D53-D2E1-4251-84D3-CCB982A8BECB}" xr6:coauthVersionLast="47" xr6:coauthVersionMax="47" xr10:uidLastSave="{00000000-0000-0000-0000-000000000000}"/>
  <bookViews>
    <workbookView xWindow="-120" yWindow="-120" windowWidth="29040" windowHeight="15840" xr2:uid="{C81B4108-5693-4772-ABB0-3216D68B12E8}"/>
  </bookViews>
  <sheets>
    <sheet name="Contents" sheetId="1" r:id="rId1"/>
    <sheet name="Notes" sheetId="42" r:id="rId2"/>
    <sheet name="Highlights" sheetId="41" r:id="rId3"/>
    <sheet name="Segmentation Criteria" sheetId="40" r:id="rId4"/>
    <sheet name="Summary 2019" sheetId="3" r:id="rId5"/>
    <sheet name="Summary 2020" sheetId="2" r:id="rId6"/>
    <sheet name="Area VIIa demersal trawl" sheetId="4" r:id="rId7"/>
    <sheet name="Area VIIa nephrops o250kW" sheetId="5" r:id="rId8"/>
    <sheet name="Area VIIa nephrops u250kW" sheetId="6" r:id="rId9"/>
    <sheet name="Area VIIb-k trawlers 24-40m" sheetId="7" r:id="rId10"/>
    <sheet name="Area VIIb-k trawlers 10-24m" sheetId="8" r:id="rId11"/>
    <sheet name="Gill netters" sheetId="9" r:id="rId12"/>
    <sheet name="Inactive" sheetId="10" r:id="rId13"/>
    <sheet name="Longliners" sheetId="11" r:id="rId14"/>
    <sheet name="Low activity over 10m" sheetId="12" r:id="rId15"/>
    <sheet name="Low activity under 10m" sheetId="13" r:id="rId16"/>
    <sheet name="NS beam trawl over 300kW" sheetId="15" r:id="rId17"/>
    <sheet name="NS beam trawl under 300kW" sheetId="16" r:id="rId18"/>
    <sheet name="NS nephrops over 300kW" sheetId="17" r:id="rId19"/>
    <sheet name="NS nephrops under 300kW" sheetId="18" r:id="rId20"/>
    <sheet name="NSWOS demersal over 24m" sheetId="19" r:id="rId21"/>
    <sheet name="NSWOS dem pair trawl seine" sheetId="20" r:id="rId22"/>
    <sheet name="NSWOS demersal seiners" sheetId="21" r:id="rId23"/>
    <sheet name="NSWOS demersal u24m o300kW" sheetId="22" r:id="rId24"/>
    <sheet name="NSWOS demersal u24m u300kW" sheetId="23" r:id="rId25"/>
    <sheet name="Pots and traps 10-12m" sheetId="25" r:id="rId26"/>
    <sheet name="Pots and traps over 12m" sheetId="26" r:id="rId27"/>
    <sheet name="South West beamers o250kW" sheetId="27" r:id="rId28"/>
    <sheet name="South West beamers u250kW" sheetId="28" r:id="rId29"/>
    <sheet name="UK scallop dredge over 15m" sheetId="29" r:id="rId30"/>
    <sheet name="UK scallop dredge under 15m" sheetId="30" r:id="rId31"/>
    <sheet name="U10m demersal trawl-seine" sheetId="31" r:id="rId32"/>
    <sheet name="U10m drift-fixed nets" sheetId="32" r:id="rId33"/>
    <sheet name="U10m pots and traps" sheetId="33" r:id="rId34"/>
    <sheet name="U10m using hooks" sheetId="34" r:id="rId35"/>
    <sheet name="WOS nephrops over 250kW" sheetId="35" r:id="rId36"/>
    <sheet name="WOS nephrops under 250kW" sheetId="36" r:id="rId37"/>
    <sheet name="Sample rates" sheetId="39" r:id="rId38"/>
    <sheet name="Operating profit margin" sheetId="38" r:id="rId39"/>
    <sheet name="Net profit margin" sheetId="37" r:id="rId40"/>
  </sheets>
  <externalReferences>
    <externalReference r:id="rId41"/>
  </externalReferences>
  <definedNames>
    <definedName name="Area_VIIa_demersal_trawl">'Area VIIa demersal trawl'!$A$1</definedName>
    <definedName name="Area_VIIa_nephrops_o250kW">'Area VIIa nephrops o250kW'!$A$1</definedName>
    <definedName name="Area_VIIa_nephrops_u250kW">'Area VIIa nephrops u250kW'!$A$1</definedName>
    <definedName name="Area_VIIb_k_trawlers_10_24m">'Area VIIb-k trawlers 10-24m'!$A$1</definedName>
    <definedName name="Area_VIIb_k_trawlers_24_40m">'Area VIIb-k trawlers 24-40m'!$A$1</definedName>
    <definedName name="Gill_netters">'Gill netters'!$A$1</definedName>
    <definedName name="Highlights">Highlights!$A$1</definedName>
    <definedName name="Home_page">Contents!$A$1</definedName>
    <definedName name="Inactive">Inactive!$A$1</definedName>
    <definedName name="Longliners">Longliners!$A$1</definedName>
    <definedName name="Low_activity_over_10m">'Low activity over 10m'!$A$1</definedName>
    <definedName name="Low_activity_under_10m">'Low activity under 10m'!$A$1</definedName>
    <definedName name="Miscellaneous">#REF!</definedName>
    <definedName name="Net_profit_margin">'Net profit margin'!$A$1</definedName>
    <definedName name="Notes">Notes!$A$1</definedName>
    <definedName name="NS_beam_trawl_over_300kW">'NS beam trawl over 300kW'!$A$1</definedName>
    <definedName name="NS_beam_trawl_under_300kW">'NS beam trawl under 300kW'!$A$1</definedName>
    <definedName name="NS_nephrops_over_300kW">'NS nephrops over 300kW'!$A$1</definedName>
    <definedName name="NS_nephrops_under_300kW">'NS nephrops under 300kW'!$A$1</definedName>
    <definedName name="NSWOS_dem_pair_trawl_seine">'NSWOS dem pair trawl seine'!$A$1</definedName>
    <definedName name="NSWOS_demersal_over_24m">'NSWOS demersal over 24m'!$A$1</definedName>
    <definedName name="NSWOS_demersal_seiners">'NSWOS demersal seiners'!$A$1</definedName>
    <definedName name="NSWOS_demersal_u24m_o300kW">'NSWOS demersal u24m o300kW'!$A$1</definedName>
    <definedName name="NSWOS_demersal_u24m_u300kW">'NSWOS demersal u24m u300kW'!$A$1</definedName>
    <definedName name="Operating_profit_margin">'Operating profit margin'!$A$1</definedName>
    <definedName name="Pelagic_over_40m">#REF!</definedName>
    <definedName name="Pots_and_traps_10_12m">'Pots and traps 10-12m'!$A$1</definedName>
    <definedName name="Pots_and_traps_over_12m">'Pots and traps over 12m'!$A$1</definedName>
    <definedName name="_xlnm.Print_Area" localSheetId="6">'Area VIIa demersal trawl'!$A$1:$Q$153</definedName>
    <definedName name="_xlnm.Print_Area" localSheetId="7">'Area VIIa nephrops o250kW'!$A$1:$Q$153</definedName>
    <definedName name="_xlnm.Print_Area" localSheetId="8">'Area VIIa nephrops u250kW'!$A$1:$Q$153</definedName>
    <definedName name="_xlnm.Print_Area" localSheetId="10">'Area VIIb-k trawlers 10-24m'!$A$1:$Q$153</definedName>
    <definedName name="_xlnm.Print_Area" localSheetId="9">'Area VIIb-k trawlers 24-40m'!$A$1:$Q$153</definedName>
    <definedName name="_xlnm.Print_Area" localSheetId="11">'Gill netters'!$A$1:$Q$153</definedName>
    <definedName name="_xlnm.Print_Area" localSheetId="2">Highlights!$B$1:$B$33</definedName>
    <definedName name="_xlnm.Print_Area" localSheetId="12">Inactive!$A$1:$Q$153</definedName>
    <definedName name="_xlnm.Print_Area" localSheetId="13">Longliners!$A$1:$Q$153</definedName>
    <definedName name="_xlnm.Print_Area" localSheetId="14">'Low activity over 10m'!$A$1:$Q$153</definedName>
    <definedName name="_xlnm.Print_Area" localSheetId="15">'Low activity under 10m'!$A$1:$Q$153</definedName>
    <definedName name="_xlnm.Print_Area" localSheetId="1">Notes!$A$1:$C$40</definedName>
    <definedName name="_xlnm.Print_Area" localSheetId="16">'NS beam trawl over 300kW'!$A$1:$Q$153</definedName>
    <definedName name="_xlnm.Print_Area" localSheetId="17">'NS beam trawl under 300kW'!$A$1:$Q$153</definedName>
    <definedName name="_xlnm.Print_Area" localSheetId="18">'NS nephrops over 300kW'!$A$1:$Q$153</definedName>
    <definedName name="_xlnm.Print_Area" localSheetId="19">'NS nephrops under 300kW'!$A$1:$Q$153</definedName>
    <definedName name="_xlnm.Print_Area" localSheetId="21">'NSWOS dem pair trawl seine'!$A$1:$Q$153</definedName>
    <definedName name="_xlnm.Print_Area" localSheetId="20">'NSWOS demersal over 24m'!$A$1:$Q$153</definedName>
    <definedName name="_xlnm.Print_Area" localSheetId="22">'NSWOS demersal seiners'!$A$1:$Q$153</definedName>
    <definedName name="_xlnm.Print_Area" localSheetId="23">'NSWOS demersal u24m o300kW'!$A$1:$Q$153</definedName>
    <definedName name="_xlnm.Print_Area" localSheetId="24">'NSWOS demersal u24m u300kW'!$A$1:$Q$153</definedName>
    <definedName name="_xlnm.Print_Area" localSheetId="25">'Pots and traps 10-12m'!$A$1:$Q$153</definedName>
    <definedName name="_xlnm.Print_Area" localSheetId="26">'Pots and traps over 12m'!$A$1:$Q$153</definedName>
    <definedName name="_xlnm.Print_Area" localSheetId="27">'South West beamers o250kW'!$A$1:$Q$153</definedName>
    <definedName name="_xlnm.Print_Area" localSheetId="28">'South West beamers u250kW'!$A$1:$Q$153</definedName>
    <definedName name="_xlnm.Print_Area" localSheetId="31">'U10m demersal trawl-seine'!$A$1:$Q$153</definedName>
    <definedName name="_xlnm.Print_Area" localSheetId="32">'U10m drift-fixed nets'!$A$1:$Q$153</definedName>
    <definedName name="_xlnm.Print_Area" localSheetId="33">'U10m pots and traps'!$A$1:$Q$153</definedName>
    <definedName name="_xlnm.Print_Area" localSheetId="34">'U10m using hooks'!$A$1:$Q$153</definedName>
    <definedName name="_xlnm.Print_Area" localSheetId="29">'UK scallop dredge over 15m'!$A$1:$Q$153</definedName>
    <definedName name="_xlnm.Print_Area" localSheetId="30">'UK scallop dredge under 15m'!$A$1:$Q$153</definedName>
    <definedName name="_xlnm.Print_Area" localSheetId="35">'WOS nephrops over 250kW'!$A$1:$Q$153</definedName>
    <definedName name="_xlnm.Print_Area" localSheetId="36">'WOS nephrops under 250kW'!$A$1:$Q$153</definedName>
    <definedName name="rounding_export" localSheetId="1">'[1]Segment tables'!$D$4</definedName>
    <definedName name="Sample_rates">'Sample rates'!$A$1</definedName>
    <definedName name="Segmentation_Criteria">'Segmentation Criteria'!$A$1</definedName>
    <definedName name="short_names" localSheetId="1">'[1]Segment tables'!$A$63:$B$95</definedName>
    <definedName name="small_numbers" localSheetId="1">'[1]Segment tables'!$B$4</definedName>
    <definedName name="South_West_beamers_o250kW">'South West beamers o250kW'!$A$1</definedName>
    <definedName name="South_West_beamers_u250kW">'South West beamers u250kW'!$A$1</definedName>
    <definedName name="sp_names" localSheetId="1">'[1]Species names'!$A$2:$B$119</definedName>
    <definedName name="Summary_last">'Summary 2019'!$A$1</definedName>
    <definedName name="Summary_projection">'Summary 2020'!$A$1</definedName>
    <definedName name="table_change" localSheetId="1">'[1]Segment tables'!$A$59:$C$61</definedName>
    <definedName name="U10m_demersal_trawl_seine">'U10m demersal trawl-seine'!$A$1</definedName>
    <definedName name="U10m_drift_fixed_nets">'U10m drift-fixed nets'!$A$1</definedName>
    <definedName name="U10m_pots_and_traps">'U10m pots and traps'!$A$1</definedName>
    <definedName name="U10m_using_hooks">'U10m using hooks'!$A$1</definedName>
    <definedName name="UK_scallop_dredge_over_15m">'UK scallop dredge over 15m'!$A$1</definedName>
    <definedName name="UK_scallop_dredge_under_15m">'UK scallop dredge under 15m'!$A$1</definedName>
    <definedName name="WOS_nephrops_over_250kW">'WOS nephrops over 250kW'!$A$1</definedName>
    <definedName name="WOS_nephrops_under_250kW">'WOS nephrops under 250kW'!$A$1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2" i="36" l="1"/>
  <c r="E142" i="36"/>
  <c r="N141" i="36" s="1"/>
  <c r="D142" i="36"/>
  <c r="M141" i="36" s="1"/>
  <c r="C142" i="36"/>
  <c r="L141" i="36" s="1"/>
  <c r="F141" i="36"/>
  <c r="E141" i="36"/>
  <c r="N140" i="36" s="1"/>
  <c r="D141" i="36"/>
  <c r="M140" i="36" s="1"/>
  <c r="C141" i="36"/>
  <c r="L140" i="36" s="1"/>
  <c r="F140" i="36"/>
  <c r="E140" i="36"/>
  <c r="N139" i="36" s="1"/>
  <c r="D140" i="36"/>
  <c r="M139" i="36" s="1"/>
  <c r="C140" i="36"/>
  <c r="L139" i="36" s="1"/>
  <c r="F139" i="36"/>
  <c r="E139" i="36"/>
  <c r="D139" i="36"/>
  <c r="C139" i="36"/>
  <c r="F138" i="36"/>
  <c r="E138" i="36"/>
  <c r="D138" i="36"/>
  <c r="C138" i="36"/>
  <c r="F135" i="36"/>
  <c r="E135" i="36"/>
  <c r="D135" i="36"/>
  <c r="C135" i="36"/>
  <c r="F134" i="36"/>
  <c r="E134" i="36"/>
  <c r="D134" i="36"/>
  <c r="C134" i="36"/>
  <c r="F133" i="36"/>
  <c r="E133" i="36"/>
  <c r="D133" i="36"/>
  <c r="C133" i="36"/>
  <c r="F132" i="36"/>
  <c r="E132" i="36"/>
  <c r="D132" i="36"/>
  <c r="C132" i="36"/>
  <c r="F130" i="36"/>
  <c r="E130" i="36"/>
  <c r="D130" i="36"/>
  <c r="C130" i="36"/>
  <c r="F126" i="36"/>
  <c r="E126" i="36"/>
  <c r="D126" i="36"/>
  <c r="C126" i="36"/>
  <c r="M41" i="36"/>
  <c r="L41" i="36"/>
  <c r="K41" i="36"/>
  <c r="J41" i="36"/>
  <c r="I41" i="36"/>
  <c r="H41" i="36"/>
  <c r="G41" i="36"/>
  <c r="F41" i="36"/>
  <c r="E41" i="36"/>
  <c r="D41" i="36"/>
  <c r="M40" i="36"/>
  <c r="L40" i="36"/>
  <c r="K40" i="36"/>
  <c r="J40" i="36"/>
  <c r="I40" i="36"/>
  <c r="H40" i="36"/>
  <c r="G40" i="36"/>
  <c r="F40" i="36"/>
  <c r="E40" i="36"/>
  <c r="D40" i="36"/>
  <c r="M39" i="36"/>
  <c r="L39" i="36"/>
  <c r="K39" i="36"/>
  <c r="J39" i="36"/>
  <c r="I39" i="36"/>
  <c r="H39" i="36"/>
  <c r="G39" i="36"/>
  <c r="F39" i="36"/>
  <c r="E39" i="36"/>
  <c r="D39" i="36"/>
  <c r="M38" i="36"/>
  <c r="L38" i="36"/>
  <c r="K38" i="36"/>
  <c r="J38" i="36"/>
  <c r="I38" i="36"/>
  <c r="H38" i="36"/>
  <c r="G38" i="36"/>
  <c r="F38" i="36"/>
  <c r="E38" i="36"/>
  <c r="D38" i="36"/>
  <c r="M37" i="36"/>
  <c r="L37" i="36"/>
  <c r="K37" i="36"/>
  <c r="J37" i="36"/>
  <c r="P37" i="36" s="1"/>
  <c r="I37" i="36"/>
  <c r="H37" i="36"/>
  <c r="G37" i="36"/>
  <c r="F37" i="36"/>
  <c r="E37" i="36"/>
  <c r="D37" i="36"/>
  <c r="M36" i="36"/>
  <c r="L36" i="36"/>
  <c r="K36" i="36"/>
  <c r="J36" i="36"/>
  <c r="I36" i="36"/>
  <c r="H36" i="36"/>
  <c r="G36" i="36"/>
  <c r="F36" i="36"/>
  <c r="E36" i="36"/>
  <c r="D36" i="36"/>
  <c r="M35" i="36"/>
  <c r="L35" i="36"/>
  <c r="K35" i="36"/>
  <c r="J35" i="36"/>
  <c r="P35" i="36" s="1"/>
  <c r="I35" i="36"/>
  <c r="H35" i="36"/>
  <c r="G35" i="36"/>
  <c r="F35" i="36"/>
  <c r="E35" i="36"/>
  <c r="D35" i="36"/>
  <c r="O35" i="36" s="1"/>
  <c r="M34" i="36"/>
  <c r="L34" i="36"/>
  <c r="K34" i="36"/>
  <c r="J34" i="36"/>
  <c r="P34" i="36" s="1"/>
  <c r="I34" i="36"/>
  <c r="H34" i="36"/>
  <c r="G34" i="36"/>
  <c r="F34" i="36"/>
  <c r="E34" i="36"/>
  <c r="D34" i="36"/>
  <c r="O34" i="36" s="1"/>
  <c r="M33" i="36"/>
  <c r="L33" i="36"/>
  <c r="K33" i="36"/>
  <c r="J33" i="36"/>
  <c r="P33" i="36" s="1"/>
  <c r="I33" i="36"/>
  <c r="H33" i="36"/>
  <c r="G33" i="36"/>
  <c r="F33" i="36"/>
  <c r="E33" i="36"/>
  <c r="D33" i="36"/>
  <c r="M32" i="36"/>
  <c r="L32" i="36"/>
  <c r="K32" i="36"/>
  <c r="J32" i="36"/>
  <c r="P32" i="36" s="1"/>
  <c r="I32" i="36"/>
  <c r="H32" i="36"/>
  <c r="G32" i="36"/>
  <c r="F32" i="36"/>
  <c r="E32" i="36"/>
  <c r="D32" i="36"/>
  <c r="O32" i="36" s="1"/>
  <c r="M31" i="36"/>
  <c r="L31" i="36"/>
  <c r="K31" i="36"/>
  <c r="J31" i="36"/>
  <c r="P31" i="36" s="1"/>
  <c r="I31" i="36"/>
  <c r="H31" i="36"/>
  <c r="G31" i="36"/>
  <c r="F31" i="36"/>
  <c r="E31" i="36"/>
  <c r="D31" i="36"/>
  <c r="O31" i="36" s="1"/>
  <c r="M30" i="36"/>
  <c r="L30" i="36"/>
  <c r="K30" i="36"/>
  <c r="J30" i="36"/>
  <c r="P30" i="36" s="1"/>
  <c r="I30" i="36"/>
  <c r="H30" i="36"/>
  <c r="G30" i="36"/>
  <c r="F30" i="36"/>
  <c r="E30" i="36"/>
  <c r="D30" i="36"/>
  <c r="O30" i="36" s="1"/>
  <c r="M29" i="36"/>
  <c r="L29" i="36"/>
  <c r="K29" i="36"/>
  <c r="J29" i="36"/>
  <c r="P29" i="36" s="1"/>
  <c r="I29" i="36"/>
  <c r="H29" i="36"/>
  <c r="G29" i="36"/>
  <c r="F29" i="36"/>
  <c r="E29" i="36"/>
  <c r="D29" i="36"/>
  <c r="M28" i="36"/>
  <c r="L28" i="36"/>
  <c r="K28" i="36"/>
  <c r="J28" i="36"/>
  <c r="P28" i="36" s="1"/>
  <c r="I28" i="36"/>
  <c r="H28" i="36"/>
  <c r="G28" i="36"/>
  <c r="F28" i="36"/>
  <c r="E28" i="36"/>
  <c r="D28" i="36"/>
  <c r="O28" i="36" s="1"/>
  <c r="M27" i="36"/>
  <c r="L27" i="36"/>
  <c r="K27" i="36"/>
  <c r="J27" i="36"/>
  <c r="P27" i="36" s="1"/>
  <c r="I27" i="36"/>
  <c r="H27" i="36"/>
  <c r="G27" i="36"/>
  <c r="F27" i="36"/>
  <c r="E27" i="36"/>
  <c r="D27" i="36"/>
  <c r="O27" i="36" s="1"/>
  <c r="M26" i="36"/>
  <c r="L26" i="36"/>
  <c r="K26" i="36"/>
  <c r="J26" i="36"/>
  <c r="I26" i="36"/>
  <c r="H26" i="36"/>
  <c r="G26" i="36"/>
  <c r="F26" i="36"/>
  <c r="E26" i="36"/>
  <c r="D26" i="36"/>
  <c r="M25" i="36"/>
  <c r="L25" i="36"/>
  <c r="K25" i="36"/>
  <c r="J25" i="36"/>
  <c r="I25" i="36"/>
  <c r="H25" i="36"/>
  <c r="G25" i="36"/>
  <c r="F25" i="36"/>
  <c r="E25" i="36"/>
  <c r="D25" i="36"/>
  <c r="M24" i="36"/>
  <c r="L24" i="36"/>
  <c r="K24" i="36"/>
  <c r="J24" i="36"/>
  <c r="P24" i="36" s="1"/>
  <c r="I24" i="36"/>
  <c r="H24" i="36"/>
  <c r="G24" i="36"/>
  <c r="F24" i="36"/>
  <c r="E24" i="36"/>
  <c r="D24" i="36"/>
  <c r="O24" i="36" s="1"/>
  <c r="M23" i="36"/>
  <c r="L23" i="36"/>
  <c r="K23" i="36"/>
  <c r="J23" i="36"/>
  <c r="P23" i="36" s="1"/>
  <c r="I23" i="36"/>
  <c r="H23" i="36"/>
  <c r="G23" i="36"/>
  <c r="F23" i="36"/>
  <c r="E23" i="36"/>
  <c r="D23" i="36"/>
  <c r="O23" i="36" s="1"/>
  <c r="M22" i="36"/>
  <c r="L22" i="36"/>
  <c r="K22" i="36"/>
  <c r="J22" i="36"/>
  <c r="P22" i="36" s="1"/>
  <c r="I22" i="36"/>
  <c r="H22" i="36"/>
  <c r="G22" i="36"/>
  <c r="F22" i="36"/>
  <c r="E22" i="36"/>
  <c r="D22" i="36"/>
  <c r="O22" i="36" s="1"/>
  <c r="M20" i="36"/>
  <c r="L20" i="36"/>
  <c r="K20" i="36"/>
  <c r="J20" i="36"/>
  <c r="P20" i="36" s="1"/>
  <c r="I20" i="36"/>
  <c r="H20" i="36"/>
  <c r="G20" i="36"/>
  <c r="F20" i="36"/>
  <c r="E20" i="36"/>
  <c r="D20" i="36"/>
  <c r="O20" i="36" s="1"/>
  <c r="M16" i="36"/>
  <c r="L16" i="36"/>
  <c r="K16" i="36"/>
  <c r="J16" i="36"/>
  <c r="P16" i="36" s="1"/>
  <c r="I16" i="36"/>
  <c r="H16" i="36"/>
  <c r="G16" i="36"/>
  <c r="F16" i="36"/>
  <c r="E16" i="36"/>
  <c r="D16" i="36"/>
  <c r="M8" i="36"/>
  <c r="L8" i="36"/>
  <c r="K8" i="36"/>
  <c r="J8" i="36"/>
  <c r="P8" i="36" s="1"/>
  <c r="I8" i="36"/>
  <c r="H8" i="36"/>
  <c r="G8" i="36"/>
  <c r="F8" i="36"/>
  <c r="E8" i="36"/>
  <c r="D8" i="36"/>
  <c r="N138" i="36"/>
  <c r="M138" i="36"/>
  <c r="L138" i="36"/>
  <c r="B114" i="36"/>
  <c r="S89" i="36" s="1"/>
  <c r="F114" i="36" s="1"/>
  <c r="B152" i="36" s="1"/>
  <c r="F76" i="36"/>
  <c r="P41" i="36"/>
  <c r="O41" i="36"/>
  <c r="P40" i="36"/>
  <c r="O40" i="36"/>
  <c r="P39" i="36"/>
  <c r="O39" i="36"/>
  <c r="P38" i="36"/>
  <c r="O38" i="36"/>
  <c r="K48" i="36"/>
  <c r="B62" i="36"/>
  <c r="A49" i="36"/>
  <c r="P21" i="36"/>
  <c r="A48" i="36"/>
  <c r="P19" i="36"/>
  <c r="O19" i="36"/>
  <c r="O18" i="36"/>
  <c r="P17" i="36"/>
  <c r="O17" i="36"/>
  <c r="P15" i="36"/>
  <c r="O15" i="36"/>
  <c r="O14" i="36"/>
  <c r="P13" i="36"/>
  <c r="O13" i="36"/>
  <c r="P12" i="36"/>
  <c r="P11" i="36"/>
  <c r="O11" i="36"/>
  <c r="O10" i="36"/>
  <c r="P9" i="36"/>
  <c r="O9" i="36"/>
  <c r="P7" i="36"/>
  <c r="O7" i="36"/>
  <c r="O6" i="36"/>
  <c r="P5" i="36"/>
  <c r="O5" i="36"/>
  <c r="P4" i="36"/>
  <c r="P3" i="36"/>
  <c r="O2" i="36"/>
  <c r="P2" i="36"/>
  <c r="P42" i="36"/>
  <c r="P89" i="36" s="1"/>
  <c r="P152" i="36" s="1"/>
  <c r="K62" i="36"/>
  <c r="F142" i="35"/>
  <c r="E142" i="35"/>
  <c r="N141" i="35" s="1"/>
  <c r="D142" i="35"/>
  <c r="M141" i="35" s="1"/>
  <c r="C142" i="35"/>
  <c r="L141" i="35" s="1"/>
  <c r="F141" i="35"/>
  <c r="E141" i="35"/>
  <c r="N140" i="35" s="1"/>
  <c r="D141" i="35"/>
  <c r="M140" i="35" s="1"/>
  <c r="C141" i="35"/>
  <c r="L140" i="35" s="1"/>
  <c r="F140" i="35"/>
  <c r="E140" i="35"/>
  <c r="N139" i="35" s="1"/>
  <c r="D140" i="35"/>
  <c r="M139" i="35" s="1"/>
  <c r="C140" i="35"/>
  <c r="L139" i="35" s="1"/>
  <c r="F139" i="35"/>
  <c r="E139" i="35"/>
  <c r="D139" i="35"/>
  <c r="C139" i="35"/>
  <c r="F138" i="35"/>
  <c r="E138" i="35"/>
  <c r="D138" i="35"/>
  <c r="C138" i="35"/>
  <c r="F135" i="35"/>
  <c r="E135" i="35"/>
  <c r="D135" i="35"/>
  <c r="C135" i="35"/>
  <c r="F134" i="35"/>
  <c r="E134" i="35"/>
  <c r="D134" i="35"/>
  <c r="C134" i="35"/>
  <c r="F133" i="35"/>
  <c r="E133" i="35"/>
  <c r="D133" i="35"/>
  <c r="C133" i="35"/>
  <c r="F132" i="35"/>
  <c r="E132" i="35"/>
  <c r="D132" i="35"/>
  <c r="C132" i="35"/>
  <c r="F130" i="35"/>
  <c r="E130" i="35"/>
  <c r="D130" i="35"/>
  <c r="C130" i="35"/>
  <c r="F126" i="35"/>
  <c r="E126" i="35"/>
  <c r="D126" i="35"/>
  <c r="C126" i="35"/>
  <c r="M41" i="35"/>
  <c r="L41" i="35"/>
  <c r="K41" i="35"/>
  <c r="J41" i="35"/>
  <c r="I41" i="35"/>
  <c r="H41" i="35"/>
  <c r="G41" i="35"/>
  <c r="F41" i="35"/>
  <c r="E41" i="35"/>
  <c r="D41" i="35"/>
  <c r="M40" i="35"/>
  <c r="L40" i="35"/>
  <c r="K40" i="35"/>
  <c r="J40" i="35"/>
  <c r="I40" i="35"/>
  <c r="H40" i="35"/>
  <c r="G40" i="35"/>
  <c r="F40" i="35"/>
  <c r="E40" i="35"/>
  <c r="D40" i="35"/>
  <c r="M39" i="35"/>
  <c r="L39" i="35"/>
  <c r="K39" i="35"/>
  <c r="J39" i="35"/>
  <c r="I39" i="35"/>
  <c r="H39" i="35"/>
  <c r="G39" i="35"/>
  <c r="F39" i="35"/>
  <c r="E39" i="35"/>
  <c r="D39" i="35"/>
  <c r="M38" i="35"/>
  <c r="L38" i="35"/>
  <c r="K38" i="35"/>
  <c r="J38" i="35"/>
  <c r="I38" i="35"/>
  <c r="H38" i="35"/>
  <c r="G38" i="35"/>
  <c r="F38" i="35"/>
  <c r="E38" i="35"/>
  <c r="D38" i="35"/>
  <c r="M37" i="35"/>
  <c r="L37" i="35"/>
  <c r="K37" i="35"/>
  <c r="J37" i="35"/>
  <c r="P37" i="35" s="1"/>
  <c r="I37" i="35"/>
  <c r="H37" i="35"/>
  <c r="G37" i="35"/>
  <c r="F37" i="35"/>
  <c r="E37" i="35"/>
  <c r="D37" i="35"/>
  <c r="O37" i="35" s="1"/>
  <c r="M36" i="35"/>
  <c r="L36" i="35"/>
  <c r="K36" i="35"/>
  <c r="J36" i="35"/>
  <c r="P36" i="35" s="1"/>
  <c r="I36" i="35"/>
  <c r="H36" i="35"/>
  <c r="G36" i="35"/>
  <c r="F36" i="35"/>
  <c r="E36" i="35"/>
  <c r="D36" i="35"/>
  <c r="M35" i="35"/>
  <c r="L35" i="35"/>
  <c r="K35" i="35"/>
  <c r="J35" i="35"/>
  <c r="P35" i="35" s="1"/>
  <c r="I35" i="35"/>
  <c r="H35" i="35"/>
  <c r="G35" i="35"/>
  <c r="F35" i="35"/>
  <c r="E35" i="35"/>
  <c r="D35" i="35"/>
  <c r="O35" i="35" s="1"/>
  <c r="M34" i="35"/>
  <c r="L34" i="35"/>
  <c r="K34" i="35"/>
  <c r="J34" i="35"/>
  <c r="P34" i="35" s="1"/>
  <c r="I34" i="35"/>
  <c r="H34" i="35"/>
  <c r="G34" i="35"/>
  <c r="F34" i="35"/>
  <c r="E34" i="35"/>
  <c r="D34" i="35"/>
  <c r="M33" i="35"/>
  <c r="L33" i="35"/>
  <c r="K33" i="35"/>
  <c r="J33" i="35"/>
  <c r="P33" i="35" s="1"/>
  <c r="I33" i="35"/>
  <c r="H33" i="35"/>
  <c r="G33" i="35"/>
  <c r="F33" i="35"/>
  <c r="E33" i="35"/>
  <c r="D33" i="35"/>
  <c r="O33" i="35" s="1"/>
  <c r="M32" i="35"/>
  <c r="L32" i="35"/>
  <c r="K32" i="35"/>
  <c r="J32" i="35"/>
  <c r="P32" i="35" s="1"/>
  <c r="I32" i="35"/>
  <c r="H32" i="35"/>
  <c r="G32" i="35"/>
  <c r="F32" i="35"/>
  <c r="E32" i="35"/>
  <c r="D32" i="35"/>
  <c r="M31" i="35"/>
  <c r="L31" i="35"/>
  <c r="K31" i="35"/>
  <c r="J31" i="35"/>
  <c r="P31" i="35" s="1"/>
  <c r="I31" i="35"/>
  <c r="H31" i="35"/>
  <c r="G31" i="35"/>
  <c r="F31" i="35"/>
  <c r="E31" i="35"/>
  <c r="D31" i="35"/>
  <c r="M30" i="35"/>
  <c r="L30" i="35"/>
  <c r="K30" i="35"/>
  <c r="J30" i="35"/>
  <c r="P30" i="35" s="1"/>
  <c r="I30" i="35"/>
  <c r="H30" i="35"/>
  <c r="G30" i="35"/>
  <c r="F30" i="35"/>
  <c r="E30" i="35"/>
  <c r="D30" i="35"/>
  <c r="M29" i="35"/>
  <c r="L29" i="35"/>
  <c r="K29" i="35"/>
  <c r="J29" i="35"/>
  <c r="P29" i="35" s="1"/>
  <c r="I29" i="35"/>
  <c r="H29" i="35"/>
  <c r="G29" i="35"/>
  <c r="F29" i="35"/>
  <c r="E29" i="35"/>
  <c r="D29" i="35"/>
  <c r="O29" i="35" s="1"/>
  <c r="M28" i="35"/>
  <c r="L28" i="35"/>
  <c r="K28" i="35"/>
  <c r="J28" i="35"/>
  <c r="P28" i="35" s="1"/>
  <c r="I28" i="35"/>
  <c r="H28" i="35"/>
  <c r="G28" i="35"/>
  <c r="F28" i="35"/>
  <c r="E28" i="35"/>
  <c r="D28" i="35"/>
  <c r="M27" i="35"/>
  <c r="L27" i="35"/>
  <c r="K27" i="35"/>
  <c r="J27" i="35"/>
  <c r="P27" i="35" s="1"/>
  <c r="I27" i="35"/>
  <c r="H27" i="35"/>
  <c r="G27" i="35"/>
  <c r="F27" i="35"/>
  <c r="E27" i="35"/>
  <c r="D27" i="35"/>
  <c r="O27" i="35" s="1"/>
  <c r="M26" i="35"/>
  <c r="L26" i="35"/>
  <c r="K26" i="35"/>
  <c r="J26" i="35"/>
  <c r="I26" i="35"/>
  <c r="H26" i="35"/>
  <c r="G26" i="35"/>
  <c r="F26" i="35"/>
  <c r="E26" i="35"/>
  <c r="D26" i="35"/>
  <c r="M25" i="35"/>
  <c r="L25" i="35"/>
  <c r="K25" i="35"/>
  <c r="J25" i="35"/>
  <c r="I25" i="35"/>
  <c r="H25" i="35"/>
  <c r="G25" i="35"/>
  <c r="F25" i="35"/>
  <c r="E25" i="35"/>
  <c r="D25" i="35"/>
  <c r="M24" i="35"/>
  <c r="L24" i="35"/>
  <c r="K24" i="35"/>
  <c r="J24" i="35"/>
  <c r="P24" i="35" s="1"/>
  <c r="I24" i="35"/>
  <c r="H24" i="35"/>
  <c r="G24" i="35"/>
  <c r="F24" i="35"/>
  <c r="E24" i="35"/>
  <c r="D24" i="35"/>
  <c r="M23" i="35"/>
  <c r="L23" i="35"/>
  <c r="K23" i="35"/>
  <c r="J23" i="35"/>
  <c r="P23" i="35" s="1"/>
  <c r="I23" i="35"/>
  <c r="H23" i="35"/>
  <c r="G23" i="35"/>
  <c r="F23" i="35"/>
  <c r="E23" i="35"/>
  <c r="D23" i="35"/>
  <c r="O23" i="35" s="1"/>
  <c r="M22" i="35"/>
  <c r="L22" i="35"/>
  <c r="K22" i="35"/>
  <c r="J22" i="35"/>
  <c r="P22" i="35" s="1"/>
  <c r="I22" i="35"/>
  <c r="H22" i="35"/>
  <c r="G22" i="35"/>
  <c r="F22" i="35"/>
  <c r="E22" i="35"/>
  <c r="D22" i="35"/>
  <c r="M20" i="35"/>
  <c r="L20" i="35"/>
  <c r="K20" i="35"/>
  <c r="J20" i="35"/>
  <c r="P20" i="35" s="1"/>
  <c r="I20" i="35"/>
  <c r="H20" i="35"/>
  <c r="G20" i="35"/>
  <c r="F20" i="35"/>
  <c r="E20" i="35"/>
  <c r="D20" i="35"/>
  <c r="M16" i="35"/>
  <c r="L16" i="35"/>
  <c r="K16" i="35"/>
  <c r="J16" i="35"/>
  <c r="P16" i="35" s="1"/>
  <c r="I16" i="35"/>
  <c r="H16" i="35"/>
  <c r="G16" i="35"/>
  <c r="F16" i="35"/>
  <c r="E16" i="35"/>
  <c r="D16" i="35"/>
  <c r="M8" i="35"/>
  <c r="L8" i="35"/>
  <c r="K8" i="35"/>
  <c r="J8" i="35"/>
  <c r="P8" i="35" s="1"/>
  <c r="I8" i="35"/>
  <c r="H8" i="35"/>
  <c r="G8" i="35"/>
  <c r="F8" i="35"/>
  <c r="E8" i="35"/>
  <c r="D8" i="35"/>
  <c r="N138" i="35"/>
  <c r="M138" i="35"/>
  <c r="L138" i="35"/>
  <c r="B114" i="35"/>
  <c r="S89" i="35" s="1"/>
  <c r="F114" i="35" s="1"/>
  <c r="B152" i="35" s="1"/>
  <c r="A76" i="35"/>
  <c r="P41" i="35"/>
  <c r="O41" i="35"/>
  <c r="P40" i="35"/>
  <c r="O40" i="35"/>
  <c r="P39" i="35"/>
  <c r="O39" i="35"/>
  <c r="P38" i="35"/>
  <c r="O38" i="35"/>
  <c r="K48" i="35"/>
  <c r="A49" i="35"/>
  <c r="P21" i="35"/>
  <c r="O21" i="35"/>
  <c r="A48" i="35"/>
  <c r="P19" i="35"/>
  <c r="O19" i="35"/>
  <c r="O18" i="35"/>
  <c r="P17" i="35"/>
  <c r="O17" i="35"/>
  <c r="P15" i="35"/>
  <c r="O15" i="35"/>
  <c r="O14" i="35"/>
  <c r="P13" i="35"/>
  <c r="O13" i="35"/>
  <c r="P12" i="35"/>
  <c r="P11" i="35"/>
  <c r="O11" i="35"/>
  <c r="O10" i="35"/>
  <c r="P9" i="35"/>
  <c r="O9" i="35"/>
  <c r="P7" i="35"/>
  <c r="O7" i="35"/>
  <c r="O6" i="35"/>
  <c r="P5" i="35"/>
  <c r="O5" i="35"/>
  <c r="P4" i="35"/>
  <c r="P3" i="35"/>
  <c r="O3" i="35"/>
  <c r="P2" i="35"/>
  <c r="O2" i="35"/>
  <c r="P42" i="35"/>
  <c r="P89" i="35" s="1"/>
  <c r="P152" i="35" s="1"/>
  <c r="F76" i="35"/>
  <c r="F142" i="34"/>
  <c r="E142" i="34"/>
  <c r="N141" i="34" s="1"/>
  <c r="D142" i="34"/>
  <c r="M141" i="34" s="1"/>
  <c r="C142" i="34"/>
  <c r="L141" i="34" s="1"/>
  <c r="F141" i="34"/>
  <c r="E141" i="34"/>
  <c r="N140" i="34" s="1"/>
  <c r="D141" i="34"/>
  <c r="M140" i="34" s="1"/>
  <c r="C141" i="34"/>
  <c r="L140" i="34" s="1"/>
  <c r="F140" i="34"/>
  <c r="E140" i="34"/>
  <c r="N139" i="34" s="1"/>
  <c r="D140" i="34"/>
  <c r="M139" i="34" s="1"/>
  <c r="C140" i="34"/>
  <c r="L139" i="34" s="1"/>
  <c r="F139" i="34"/>
  <c r="E139" i="34"/>
  <c r="D139" i="34"/>
  <c r="C139" i="34"/>
  <c r="F138" i="34"/>
  <c r="E138" i="34"/>
  <c r="D138" i="34"/>
  <c r="C138" i="34"/>
  <c r="F135" i="34"/>
  <c r="E135" i="34"/>
  <c r="D135" i="34"/>
  <c r="C135" i="34"/>
  <c r="F134" i="34"/>
  <c r="E134" i="34"/>
  <c r="D134" i="34"/>
  <c r="C134" i="34"/>
  <c r="F133" i="34"/>
  <c r="E133" i="34"/>
  <c r="D133" i="34"/>
  <c r="C133" i="34"/>
  <c r="F132" i="34"/>
  <c r="E132" i="34"/>
  <c r="D132" i="34"/>
  <c r="C132" i="34"/>
  <c r="F130" i="34"/>
  <c r="E130" i="34"/>
  <c r="D130" i="34"/>
  <c r="C130" i="34"/>
  <c r="F126" i="34"/>
  <c r="E126" i="34"/>
  <c r="D126" i="34"/>
  <c r="C126" i="34"/>
  <c r="M41" i="34"/>
  <c r="L41" i="34"/>
  <c r="K41" i="34"/>
  <c r="J41" i="34"/>
  <c r="I41" i="34"/>
  <c r="H41" i="34"/>
  <c r="G41" i="34"/>
  <c r="F41" i="34"/>
  <c r="E41" i="34"/>
  <c r="D41" i="34"/>
  <c r="M40" i="34"/>
  <c r="L40" i="34"/>
  <c r="K40" i="34"/>
  <c r="J40" i="34"/>
  <c r="I40" i="34"/>
  <c r="H40" i="34"/>
  <c r="G40" i="34"/>
  <c r="F40" i="34"/>
  <c r="E40" i="34"/>
  <c r="D40" i="34"/>
  <c r="M39" i="34"/>
  <c r="L39" i="34"/>
  <c r="K39" i="34"/>
  <c r="J39" i="34"/>
  <c r="I39" i="34"/>
  <c r="H39" i="34"/>
  <c r="G39" i="34"/>
  <c r="F39" i="34"/>
  <c r="E39" i="34"/>
  <c r="D39" i="34"/>
  <c r="M38" i="34"/>
  <c r="L38" i="34"/>
  <c r="K38" i="34"/>
  <c r="J38" i="34"/>
  <c r="I38" i="34"/>
  <c r="H38" i="34"/>
  <c r="G38" i="34"/>
  <c r="F38" i="34"/>
  <c r="E38" i="34"/>
  <c r="D38" i="34"/>
  <c r="M37" i="34"/>
  <c r="L37" i="34"/>
  <c r="K37" i="34"/>
  <c r="J37" i="34"/>
  <c r="P37" i="34" s="1"/>
  <c r="I37" i="34"/>
  <c r="H37" i="34"/>
  <c r="G37" i="34"/>
  <c r="F37" i="34"/>
  <c r="E37" i="34"/>
  <c r="D37" i="34"/>
  <c r="O37" i="34" s="1"/>
  <c r="M36" i="34"/>
  <c r="L36" i="34"/>
  <c r="K36" i="34"/>
  <c r="J36" i="34"/>
  <c r="I36" i="34"/>
  <c r="H36" i="34"/>
  <c r="G36" i="34"/>
  <c r="F36" i="34"/>
  <c r="E36" i="34"/>
  <c r="D36" i="34"/>
  <c r="M35" i="34"/>
  <c r="L35" i="34"/>
  <c r="K35" i="34"/>
  <c r="J35" i="34"/>
  <c r="P35" i="34" s="1"/>
  <c r="I35" i="34"/>
  <c r="H35" i="34"/>
  <c r="G35" i="34"/>
  <c r="F35" i="34"/>
  <c r="E35" i="34"/>
  <c r="D35" i="34"/>
  <c r="M34" i="34"/>
  <c r="L34" i="34"/>
  <c r="K34" i="34"/>
  <c r="J34" i="34"/>
  <c r="P34" i="34" s="1"/>
  <c r="I34" i="34"/>
  <c r="H34" i="34"/>
  <c r="G34" i="34"/>
  <c r="F34" i="34"/>
  <c r="E34" i="34"/>
  <c r="D34" i="34"/>
  <c r="O34" i="34" s="1"/>
  <c r="M33" i="34"/>
  <c r="L33" i="34"/>
  <c r="K33" i="34"/>
  <c r="J33" i="34"/>
  <c r="P33" i="34" s="1"/>
  <c r="I33" i="34"/>
  <c r="H33" i="34"/>
  <c r="G33" i="34"/>
  <c r="F33" i="34"/>
  <c r="E33" i="34"/>
  <c r="D33" i="34"/>
  <c r="O33" i="34" s="1"/>
  <c r="M32" i="34"/>
  <c r="L32" i="34"/>
  <c r="K32" i="34"/>
  <c r="J32" i="34"/>
  <c r="P32" i="34" s="1"/>
  <c r="I32" i="34"/>
  <c r="H32" i="34"/>
  <c r="G32" i="34"/>
  <c r="F32" i="34"/>
  <c r="E32" i="34"/>
  <c r="D32" i="34"/>
  <c r="O32" i="34" s="1"/>
  <c r="M31" i="34"/>
  <c r="L31" i="34"/>
  <c r="K31" i="34"/>
  <c r="J31" i="34"/>
  <c r="P31" i="34" s="1"/>
  <c r="I31" i="34"/>
  <c r="H31" i="34"/>
  <c r="G31" i="34"/>
  <c r="F31" i="34"/>
  <c r="E31" i="34"/>
  <c r="D31" i="34"/>
  <c r="M30" i="34"/>
  <c r="L30" i="34"/>
  <c r="K30" i="34"/>
  <c r="J30" i="34"/>
  <c r="P30" i="34" s="1"/>
  <c r="I30" i="34"/>
  <c r="H30" i="34"/>
  <c r="G30" i="34"/>
  <c r="F30" i="34"/>
  <c r="E30" i="34"/>
  <c r="D30" i="34"/>
  <c r="O30" i="34" s="1"/>
  <c r="M29" i="34"/>
  <c r="L29" i="34"/>
  <c r="K29" i="34"/>
  <c r="J29" i="34"/>
  <c r="P29" i="34" s="1"/>
  <c r="I29" i="34"/>
  <c r="H29" i="34"/>
  <c r="G29" i="34"/>
  <c r="F29" i="34"/>
  <c r="E29" i="34"/>
  <c r="D29" i="34"/>
  <c r="O29" i="34" s="1"/>
  <c r="M28" i="34"/>
  <c r="L28" i="34"/>
  <c r="K28" i="34"/>
  <c r="J28" i="34"/>
  <c r="P28" i="34" s="1"/>
  <c r="I28" i="34"/>
  <c r="H28" i="34"/>
  <c r="G28" i="34"/>
  <c r="F28" i="34"/>
  <c r="E28" i="34"/>
  <c r="D28" i="34"/>
  <c r="O28" i="34" s="1"/>
  <c r="M27" i="34"/>
  <c r="L27" i="34"/>
  <c r="K27" i="34"/>
  <c r="J27" i="34"/>
  <c r="I27" i="34"/>
  <c r="H27" i="34"/>
  <c r="G27" i="34"/>
  <c r="F27" i="34"/>
  <c r="E27" i="34"/>
  <c r="D27" i="34"/>
  <c r="M26" i="34"/>
  <c r="L26" i="34"/>
  <c r="K26" i="34"/>
  <c r="J26" i="34"/>
  <c r="I26" i="34"/>
  <c r="H26" i="34"/>
  <c r="G26" i="34"/>
  <c r="F26" i="34"/>
  <c r="E26" i="34"/>
  <c r="D26" i="34"/>
  <c r="M25" i="34"/>
  <c r="L25" i="34"/>
  <c r="K25" i="34"/>
  <c r="J25" i="34"/>
  <c r="I25" i="34"/>
  <c r="H25" i="34"/>
  <c r="G25" i="34"/>
  <c r="F25" i="34"/>
  <c r="E25" i="34"/>
  <c r="D25" i="34"/>
  <c r="M24" i="34"/>
  <c r="L24" i="34"/>
  <c r="K24" i="34"/>
  <c r="J24" i="34"/>
  <c r="P24" i="34" s="1"/>
  <c r="I24" i="34"/>
  <c r="H24" i="34"/>
  <c r="G24" i="34"/>
  <c r="F24" i="34"/>
  <c r="E24" i="34"/>
  <c r="D24" i="34"/>
  <c r="O24" i="34" s="1"/>
  <c r="M23" i="34"/>
  <c r="L23" i="34"/>
  <c r="K23" i="34"/>
  <c r="J23" i="34"/>
  <c r="P23" i="34" s="1"/>
  <c r="I23" i="34"/>
  <c r="H23" i="34"/>
  <c r="G23" i="34"/>
  <c r="F23" i="34"/>
  <c r="E23" i="34"/>
  <c r="D23" i="34"/>
  <c r="M22" i="34"/>
  <c r="L22" i="34"/>
  <c r="K22" i="34"/>
  <c r="J22" i="34"/>
  <c r="P22" i="34" s="1"/>
  <c r="I22" i="34"/>
  <c r="H22" i="34"/>
  <c r="G22" i="34"/>
  <c r="F22" i="34"/>
  <c r="E22" i="34"/>
  <c r="D22" i="34"/>
  <c r="O22" i="34" s="1"/>
  <c r="M20" i="34"/>
  <c r="L20" i="34"/>
  <c r="K20" i="34"/>
  <c r="J20" i="34"/>
  <c r="P20" i="34" s="1"/>
  <c r="I20" i="34"/>
  <c r="H20" i="34"/>
  <c r="G20" i="34"/>
  <c r="F20" i="34"/>
  <c r="E20" i="34"/>
  <c r="D20" i="34"/>
  <c r="O20" i="34" s="1"/>
  <c r="M16" i="34"/>
  <c r="L16" i="34"/>
  <c r="K16" i="34"/>
  <c r="J16" i="34"/>
  <c r="P16" i="34" s="1"/>
  <c r="I16" i="34"/>
  <c r="H16" i="34"/>
  <c r="G16" i="34"/>
  <c r="F16" i="34"/>
  <c r="E16" i="34"/>
  <c r="D16" i="34"/>
  <c r="O16" i="34" s="1"/>
  <c r="M8" i="34"/>
  <c r="L8" i="34"/>
  <c r="K8" i="34"/>
  <c r="J8" i="34"/>
  <c r="P8" i="34" s="1"/>
  <c r="I8" i="34"/>
  <c r="H8" i="34"/>
  <c r="G8" i="34"/>
  <c r="F8" i="34"/>
  <c r="E8" i="34"/>
  <c r="D8" i="34"/>
  <c r="O8" i="34" s="1"/>
  <c r="N138" i="34"/>
  <c r="M138" i="34"/>
  <c r="L138" i="34"/>
  <c r="B114" i="34"/>
  <c r="S89" i="34" s="1"/>
  <c r="F114" i="34" s="1"/>
  <c r="B152" i="34" s="1"/>
  <c r="F76" i="34"/>
  <c r="A50" i="34"/>
  <c r="P41" i="34"/>
  <c r="O41" i="34"/>
  <c r="P40" i="34"/>
  <c r="O40" i="34"/>
  <c r="P39" i="34"/>
  <c r="O39" i="34"/>
  <c r="P38" i="34"/>
  <c r="O38" i="34"/>
  <c r="K48" i="34"/>
  <c r="B62" i="34"/>
  <c r="A49" i="34"/>
  <c r="O21" i="34"/>
  <c r="P21" i="34"/>
  <c r="A48" i="34"/>
  <c r="P19" i="34"/>
  <c r="O19" i="34"/>
  <c r="O18" i="34"/>
  <c r="P17" i="34"/>
  <c r="P15" i="34"/>
  <c r="O15" i="34"/>
  <c r="O14" i="34"/>
  <c r="P13" i="34"/>
  <c r="P12" i="34"/>
  <c r="O12" i="34"/>
  <c r="P11" i="34"/>
  <c r="O11" i="34"/>
  <c r="O10" i="34"/>
  <c r="P9" i="34"/>
  <c r="P7" i="34"/>
  <c r="O7" i="34"/>
  <c r="O6" i="34"/>
  <c r="P5" i="34"/>
  <c r="P4" i="34"/>
  <c r="O4" i="34"/>
  <c r="P3" i="34"/>
  <c r="O3" i="34"/>
  <c r="O2" i="34"/>
  <c r="P42" i="34"/>
  <c r="P89" i="34" s="1"/>
  <c r="P152" i="34" s="1"/>
  <c r="K62" i="34"/>
  <c r="F142" i="33"/>
  <c r="E142" i="33"/>
  <c r="N141" i="33" s="1"/>
  <c r="D142" i="33"/>
  <c r="M141" i="33" s="1"/>
  <c r="C142" i="33"/>
  <c r="L141" i="33" s="1"/>
  <c r="F141" i="33"/>
  <c r="E141" i="33"/>
  <c r="N140" i="33" s="1"/>
  <c r="D141" i="33"/>
  <c r="M140" i="33" s="1"/>
  <c r="C141" i="33"/>
  <c r="L140" i="33" s="1"/>
  <c r="F140" i="33"/>
  <c r="E140" i="33"/>
  <c r="N139" i="33" s="1"/>
  <c r="D140" i="33"/>
  <c r="M139" i="33" s="1"/>
  <c r="C140" i="33"/>
  <c r="L139" i="33" s="1"/>
  <c r="F139" i="33"/>
  <c r="E139" i="33"/>
  <c r="D139" i="33"/>
  <c r="C139" i="33"/>
  <c r="F138" i="33"/>
  <c r="E138" i="33"/>
  <c r="D138" i="33"/>
  <c r="C138" i="33"/>
  <c r="F135" i="33"/>
  <c r="E135" i="33"/>
  <c r="D135" i="33"/>
  <c r="C135" i="33"/>
  <c r="F134" i="33"/>
  <c r="E134" i="33"/>
  <c r="D134" i="33"/>
  <c r="C134" i="33"/>
  <c r="F133" i="33"/>
  <c r="E133" i="33"/>
  <c r="D133" i="33"/>
  <c r="C133" i="33"/>
  <c r="F132" i="33"/>
  <c r="E132" i="33"/>
  <c r="D132" i="33"/>
  <c r="C132" i="33"/>
  <c r="F130" i="33"/>
  <c r="E130" i="33"/>
  <c r="D130" i="33"/>
  <c r="C130" i="33"/>
  <c r="F126" i="33"/>
  <c r="E126" i="33"/>
  <c r="D126" i="33"/>
  <c r="C126" i="33"/>
  <c r="M41" i="33"/>
  <c r="L41" i="33"/>
  <c r="K41" i="33"/>
  <c r="J41" i="33"/>
  <c r="I41" i="33"/>
  <c r="H41" i="33"/>
  <c r="G41" i="33"/>
  <c r="F41" i="33"/>
  <c r="E41" i="33"/>
  <c r="D41" i="33"/>
  <c r="M40" i="33"/>
  <c r="L40" i="33"/>
  <c r="K40" i="33"/>
  <c r="J40" i="33"/>
  <c r="I40" i="33"/>
  <c r="H40" i="33"/>
  <c r="G40" i="33"/>
  <c r="F40" i="33"/>
  <c r="E40" i="33"/>
  <c r="D40" i="33"/>
  <c r="M39" i="33"/>
  <c r="L39" i="33"/>
  <c r="K39" i="33"/>
  <c r="J39" i="33"/>
  <c r="I39" i="33"/>
  <c r="H39" i="33"/>
  <c r="G39" i="33"/>
  <c r="F39" i="33"/>
  <c r="E39" i="33"/>
  <c r="D39" i="33"/>
  <c r="M38" i="33"/>
  <c r="L38" i="33"/>
  <c r="K38" i="33"/>
  <c r="J38" i="33"/>
  <c r="I38" i="33"/>
  <c r="H38" i="33"/>
  <c r="G38" i="33"/>
  <c r="F38" i="33"/>
  <c r="E38" i="33"/>
  <c r="D38" i="33"/>
  <c r="M37" i="33"/>
  <c r="L37" i="33"/>
  <c r="K37" i="33"/>
  <c r="J37" i="33"/>
  <c r="P37" i="33" s="1"/>
  <c r="I37" i="33"/>
  <c r="H37" i="33"/>
  <c r="G37" i="33"/>
  <c r="F37" i="33"/>
  <c r="E37" i="33"/>
  <c r="D37" i="33"/>
  <c r="M36" i="33"/>
  <c r="L36" i="33"/>
  <c r="K36" i="33"/>
  <c r="J36" i="33"/>
  <c r="I36" i="33"/>
  <c r="H36" i="33"/>
  <c r="G36" i="33"/>
  <c r="F36" i="33"/>
  <c r="E36" i="33"/>
  <c r="D36" i="33"/>
  <c r="O36" i="33" s="1"/>
  <c r="M35" i="33"/>
  <c r="L35" i="33"/>
  <c r="K35" i="33"/>
  <c r="J35" i="33"/>
  <c r="P35" i="33" s="1"/>
  <c r="I35" i="33"/>
  <c r="H35" i="33"/>
  <c r="G35" i="33"/>
  <c r="F35" i="33"/>
  <c r="E35" i="33"/>
  <c r="D35" i="33"/>
  <c r="O35" i="33" s="1"/>
  <c r="M34" i="33"/>
  <c r="L34" i="33"/>
  <c r="K34" i="33"/>
  <c r="J34" i="33"/>
  <c r="P34" i="33" s="1"/>
  <c r="I34" i="33"/>
  <c r="H34" i="33"/>
  <c r="G34" i="33"/>
  <c r="F34" i="33"/>
  <c r="E34" i="33"/>
  <c r="D34" i="33"/>
  <c r="O34" i="33" s="1"/>
  <c r="M33" i="33"/>
  <c r="L33" i="33"/>
  <c r="K33" i="33"/>
  <c r="J33" i="33"/>
  <c r="P33" i="33" s="1"/>
  <c r="I33" i="33"/>
  <c r="H33" i="33"/>
  <c r="G33" i="33"/>
  <c r="F33" i="33"/>
  <c r="E33" i="33"/>
  <c r="D33" i="33"/>
  <c r="M32" i="33"/>
  <c r="L32" i="33"/>
  <c r="K32" i="33"/>
  <c r="J32" i="33"/>
  <c r="P32" i="33" s="1"/>
  <c r="I32" i="33"/>
  <c r="H32" i="33"/>
  <c r="G32" i="33"/>
  <c r="F32" i="33"/>
  <c r="E32" i="33"/>
  <c r="D32" i="33"/>
  <c r="O32" i="33" s="1"/>
  <c r="M31" i="33"/>
  <c r="L31" i="33"/>
  <c r="K31" i="33"/>
  <c r="J31" i="33"/>
  <c r="I31" i="33"/>
  <c r="H31" i="33"/>
  <c r="G31" i="33"/>
  <c r="F31" i="33"/>
  <c r="E31" i="33"/>
  <c r="D31" i="33"/>
  <c r="M30" i="33"/>
  <c r="L30" i="33"/>
  <c r="K30" i="33"/>
  <c r="J30" i="33"/>
  <c r="P30" i="33" s="1"/>
  <c r="I30" i="33"/>
  <c r="H30" i="33"/>
  <c r="G30" i="33"/>
  <c r="F30" i="33"/>
  <c r="E30" i="33"/>
  <c r="D30" i="33"/>
  <c r="O30" i="33" s="1"/>
  <c r="M29" i="33"/>
  <c r="L29" i="33"/>
  <c r="K29" i="33"/>
  <c r="J29" i="33"/>
  <c r="P29" i="33" s="1"/>
  <c r="I29" i="33"/>
  <c r="H29" i="33"/>
  <c r="G29" i="33"/>
  <c r="F29" i="33"/>
  <c r="E29" i="33"/>
  <c r="D29" i="33"/>
  <c r="M28" i="33"/>
  <c r="L28" i="33"/>
  <c r="K28" i="33"/>
  <c r="J28" i="33"/>
  <c r="P28" i="33" s="1"/>
  <c r="I28" i="33"/>
  <c r="H28" i="33"/>
  <c r="G28" i="33"/>
  <c r="F28" i="33"/>
  <c r="E28" i="33"/>
  <c r="D28" i="33"/>
  <c r="O28" i="33" s="1"/>
  <c r="M27" i="33"/>
  <c r="L27" i="33"/>
  <c r="K27" i="33"/>
  <c r="J27" i="33"/>
  <c r="P27" i="33" s="1"/>
  <c r="I27" i="33"/>
  <c r="H27" i="33"/>
  <c r="G27" i="33"/>
  <c r="F27" i="33"/>
  <c r="E27" i="33"/>
  <c r="D27" i="33"/>
  <c r="M26" i="33"/>
  <c r="L26" i="33"/>
  <c r="K26" i="33"/>
  <c r="J26" i="33"/>
  <c r="I26" i="33"/>
  <c r="H26" i="33"/>
  <c r="G26" i="33"/>
  <c r="F26" i="33"/>
  <c r="E26" i="33"/>
  <c r="D26" i="33"/>
  <c r="M25" i="33"/>
  <c r="L25" i="33"/>
  <c r="K25" i="33"/>
  <c r="J25" i="33"/>
  <c r="I25" i="33"/>
  <c r="H25" i="33"/>
  <c r="G25" i="33"/>
  <c r="F25" i="33"/>
  <c r="E25" i="33"/>
  <c r="D25" i="33"/>
  <c r="M24" i="33"/>
  <c r="L24" i="33"/>
  <c r="K24" i="33"/>
  <c r="J24" i="33"/>
  <c r="P24" i="33" s="1"/>
  <c r="I24" i="33"/>
  <c r="H24" i="33"/>
  <c r="G24" i="33"/>
  <c r="F24" i="33"/>
  <c r="E24" i="33"/>
  <c r="D24" i="33"/>
  <c r="O24" i="33" s="1"/>
  <c r="M23" i="33"/>
  <c r="L23" i="33"/>
  <c r="K23" i="33"/>
  <c r="J23" i="33"/>
  <c r="P23" i="33" s="1"/>
  <c r="I23" i="33"/>
  <c r="H23" i="33"/>
  <c r="G23" i="33"/>
  <c r="F23" i="33"/>
  <c r="E23" i="33"/>
  <c r="D23" i="33"/>
  <c r="O23" i="33" s="1"/>
  <c r="M22" i="33"/>
  <c r="L22" i="33"/>
  <c r="K22" i="33"/>
  <c r="J22" i="33"/>
  <c r="P22" i="33" s="1"/>
  <c r="I22" i="33"/>
  <c r="H22" i="33"/>
  <c r="G22" i="33"/>
  <c r="F22" i="33"/>
  <c r="E22" i="33"/>
  <c r="D22" i="33"/>
  <c r="O22" i="33" s="1"/>
  <c r="M20" i="33"/>
  <c r="L20" i="33"/>
  <c r="K20" i="33"/>
  <c r="J20" i="33"/>
  <c r="P20" i="33" s="1"/>
  <c r="I20" i="33"/>
  <c r="H20" i="33"/>
  <c r="G20" i="33"/>
  <c r="F20" i="33"/>
  <c r="E20" i="33"/>
  <c r="D20" i="33"/>
  <c r="O20" i="33" s="1"/>
  <c r="M16" i="33"/>
  <c r="L16" i="33"/>
  <c r="K16" i="33"/>
  <c r="J16" i="33"/>
  <c r="P16" i="33" s="1"/>
  <c r="I16" i="33"/>
  <c r="H16" i="33"/>
  <c r="G16" i="33"/>
  <c r="F16" i="33"/>
  <c r="E16" i="33"/>
  <c r="D16" i="33"/>
  <c r="M8" i="33"/>
  <c r="L8" i="33"/>
  <c r="K8" i="33"/>
  <c r="J8" i="33"/>
  <c r="P8" i="33" s="1"/>
  <c r="I8" i="33"/>
  <c r="H8" i="33"/>
  <c r="G8" i="33"/>
  <c r="F8" i="33"/>
  <c r="E8" i="33"/>
  <c r="D8" i="33"/>
  <c r="N138" i="33"/>
  <c r="M138" i="33"/>
  <c r="L138" i="33"/>
  <c r="B114" i="33"/>
  <c r="S89" i="33" s="1"/>
  <c r="F114" i="33" s="1"/>
  <c r="B152" i="33" s="1"/>
  <c r="F76" i="33"/>
  <c r="P41" i="33"/>
  <c r="O41" i="33"/>
  <c r="P40" i="33"/>
  <c r="O40" i="33"/>
  <c r="P39" i="33"/>
  <c r="O39" i="33"/>
  <c r="P38" i="33"/>
  <c r="O38" i="33"/>
  <c r="K48" i="33"/>
  <c r="B62" i="33"/>
  <c r="A49" i="33"/>
  <c r="P21" i="33"/>
  <c r="A48" i="33"/>
  <c r="P19" i="33"/>
  <c r="O19" i="33"/>
  <c r="O18" i="33"/>
  <c r="P17" i="33"/>
  <c r="O17" i="33"/>
  <c r="P15" i="33"/>
  <c r="O15" i="33"/>
  <c r="O14" i="33"/>
  <c r="P14" i="33"/>
  <c r="P13" i="33"/>
  <c r="O13" i="33"/>
  <c r="P12" i="33"/>
  <c r="P11" i="33"/>
  <c r="O11" i="33"/>
  <c r="O10" i="33"/>
  <c r="P10" i="33"/>
  <c r="P9" i="33"/>
  <c r="O9" i="33"/>
  <c r="P7" i="33"/>
  <c r="O7" i="33"/>
  <c r="O6" i="33"/>
  <c r="P6" i="33"/>
  <c r="P5" i="33"/>
  <c r="O5" i="33"/>
  <c r="P4" i="33"/>
  <c r="P3" i="33"/>
  <c r="O3" i="33"/>
  <c r="O2" i="33"/>
  <c r="P2" i="33"/>
  <c r="P42" i="33"/>
  <c r="P89" i="33" s="1"/>
  <c r="P152" i="33" s="1"/>
  <c r="K62" i="33"/>
  <c r="F142" i="32"/>
  <c r="E142" i="32"/>
  <c r="N141" i="32" s="1"/>
  <c r="D142" i="32"/>
  <c r="M141" i="32" s="1"/>
  <c r="C142" i="32"/>
  <c r="L141" i="32" s="1"/>
  <c r="F141" i="32"/>
  <c r="E141" i="32"/>
  <c r="N140" i="32" s="1"/>
  <c r="D141" i="32"/>
  <c r="M140" i="32" s="1"/>
  <c r="C141" i="32"/>
  <c r="L140" i="32" s="1"/>
  <c r="F140" i="32"/>
  <c r="E140" i="32"/>
  <c r="N139" i="32" s="1"/>
  <c r="D140" i="32"/>
  <c r="M139" i="32" s="1"/>
  <c r="C140" i="32"/>
  <c r="L139" i="32" s="1"/>
  <c r="F139" i="32"/>
  <c r="E139" i="32"/>
  <c r="D139" i="32"/>
  <c r="C139" i="32"/>
  <c r="F138" i="32"/>
  <c r="E138" i="32"/>
  <c r="D138" i="32"/>
  <c r="C138" i="32"/>
  <c r="F135" i="32"/>
  <c r="E135" i="32"/>
  <c r="D135" i="32"/>
  <c r="C135" i="32"/>
  <c r="F134" i="32"/>
  <c r="E134" i="32"/>
  <c r="D134" i="32"/>
  <c r="C134" i="32"/>
  <c r="F133" i="32"/>
  <c r="E133" i="32"/>
  <c r="D133" i="32"/>
  <c r="C133" i="32"/>
  <c r="F132" i="32"/>
  <c r="E132" i="32"/>
  <c r="D132" i="32"/>
  <c r="C132" i="32"/>
  <c r="F130" i="32"/>
  <c r="E130" i="32"/>
  <c r="D130" i="32"/>
  <c r="C130" i="32"/>
  <c r="F126" i="32"/>
  <c r="E126" i="32"/>
  <c r="D126" i="32"/>
  <c r="C126" i="32"/>
  <c r="M41" i="32"/>
  <c r="L41" i="32"/>
  <c r="K41" i="32"/>
  <c r="J41" i="32"/>
  <c r="I41" i="32"/>
  <c r="H41" i="32"/>
  <c r="G41" i="32"/>
  <c r="F41" i="32"/>
  <c r="E41" i="32"/>
  <c r="D41" i="32"/>
  <c r="L40" i="32"/>
  <c r="K40" i="32"/>
  <c r="J40" i="32"/>
  <c r="I40" i="32"/>
  <c r="H40" i="32"/>
  <c r="G40" i="32"/>
  <c r="F40" i="32"/>
  <c r="E40" i="32"/>
  <c r="D40" i="32"/>
  <c r="M39" i="32"/>
  <c r="L39" i="32"/>
  <c r="K39" i="32"/>
  <c r="J39" i="32"/>
  <c r="I39" i="32"/>
  <c r="H39" i="32"/>
  <c r="G39" i="32"/>
  <c r="F39" i="32"/>
  <c r="E39" i="32"/>
  <c r="D39" i="32"/>
  <c r="M38" i="32"/>
  <c r="L38" i="32"/>
  <c r="K38" i="32"/>
  <c r="J38" i="32"/>
  <c r="I38" i="32"/>
  <c r="H38" i="32"/>
  <c r="G38" i="32"/>
  <c r="F38" i="32"/>
  <c r="E38" i="32"/>
  <c r="D38" i="32"/>
  <c r="M37" i="32"/>
  <c r="L37" i="32"/>
  <c r="K37" i="32"/>
  <c r="J37" i="32"/>
  <c r="P37" i="32" s="1"/>
  <c r="I37" i="32"/>
  <c r="H37" i="32"/>
  <c r="G37" i="32"/>
  <c r="F37" i="32"/>
  <c r="E37" i="32"/>
  <c r="D37" i="32"/>
  <c r="O37" i="32" s="1"/>
  <c r="M36" i="32"/>
  <c r="L36" i="32"/>
  <c r="K36" i="32"/>
  <c r="J36" i="32"/>
  <c r="P36" i="32" s="1"/>
  <c r="I36" i="32"/>
  <c r="H36" i="32"/>
  <c r="G36" i="32"/>
  <c r="F36" i="32"/>
  <c r="E36" i="32"/>
  <c r="D36" i="32"/>
  <c r="M35" i="32"/>
  <c r="L35" i="32"/>
  <c r="K35" i="32"/>
  <c r="J35" i="32"/>
  <c r="P35" i="32" s="1"/>
  <c r="I35" i="32"/>
  <c r="H35" i="32"/>
  <c r="G35" i="32"/>
  <c r="F35" i="32"/>
  <c r="E35" i="32"/>
  <c r="D35" i="32"/>
  <c r="O35" i="32" s="1"/>
  <c r="M34" i="32"/>
  <c r="L34" i="32"/>
  <c r="K34" i="32"/>
  <c r="J34" i="32"/>
  <c r="P34" i="32" s="1"/>
  <c r="I34" i="32"/>
  <c r="H34" i="32"/>
  <c r="G34" i="32"/>
  <c r="F34" i="32"/>
  <c r="E34" i="32"/>
  <c r="D34" i="32"/>
  <c r="M33" i="32"/>
  <c r="L33" i="32"/>
  <c r="K33" i="32"/>
  <c r="J33" i="32"/>
  <c r="P33" i="32" s="1"/>
  <c r="I33" i="32"/>
  <c r="H33" i="32"/>
  <c r="G33" i="32"/>
  <c r="F33" i="32"/>
  <c r="E33" i="32"/>
  <c r="D33" i="32"/>
  <c r="O33" i="32" s="1"/>
  <c r="M32" i="32"/>
  <c r="L32" i="32"/>
  <c r="K32" i="32"/>
  <c r="J32" i="32"/>
  <c r="P32" i="32" s="1"/>
  <c r="I32" i="32"/>
  <c r="H32" i="32"/>
  <c r="G32" i="32"/>
  <c r="F32" i="32"/>
  <c r="E32" i="32"/>
  <c r="D32" i="32"/>
  <c r="M31" i="32"/>
  <c r="L31" i="32"/>
  <c r="K31" i="32"/>
  <c r="J31" i="32"/>
  <c r="P31" i="32" s="1"/>
  <c r="I31" i="32"/>
  <c r="H31" i="32"/>
  <c r="G31" i="32"/>
  <c r="F31" i="32"/>
  <c r="E31" i="32"/>
  <c r="D31" i="32"/>
  <c r="O31" i="32" s="1"/>
  <c r="M30" i="32"/>
  <c r="L30" i="32"/>
  <c r="K30" i="32"/>
  <c r="J30" i="32"/>
  <c r="P30" i="32" s="1"/>
  <c r="I30" i="32"/>
  <c r="H30" i="32"/>
  <c r="G30" i="32"/>
  <c r="F30" i="32"/>
  <c r="E30" i="32"/>
  <c r="D30" i="32"/>
  <c r="M29" i="32"/>
  <c r="L29" i="32"/>
  <c r="K29" i="32"/>
  <c r="J29" i="32"/>
  <c r="P29" i="32" s="1"/>
  <c r="I29" i="32"/>
  <c r="H29" i="32"/>
  <c r="G29" i="32"/>
  <c r="F29" i="32"/>
  <c r="E29" i="32"/>
  <c r="D29" i="32"/>
  <c r="O29" i="32" s="1"/>
  <c r="M28" i="32"/>
  <c r="L28" i="32"/>
  <c r="K28" i="32"/>
  <c r="J28" i="32"/>
  <c r="P28" i="32" s="1"/>
  <c r="I28" i="32"/>
  <c r="H28" i="32"/>
  <c r="G28" i="32"/>
  <c r="F28" i="32"/>
  <c r="E28" i="32"/>
  <c r="D28" i="32"/>
  <c r="M27" i="32"/>
  <c r="L27" i="32"/>
  <c r="K27" i="32"/>
  <c r="J27" i="32"/>
  <c r="P27" i="32" s="1"/>
  <c r="I27" i="32"/>
  <c r="H27" i="32"/>
  <c r="G27" i="32"/>
  <c r="F27" i="32"/>
  <c r="E27" i="32"/>
  <c r="D27" i="32"/>
  <c r="M26" i="32"/>
  <c r="L26" i="32"/>
  <c r="K26" i="32"/>
  <c r="J26" i="32"/>
  <c r="I26" i="32"/>
  <c r="H26" i="32"/>
  <c r="G26" i="32"/>
  <c r="F26" i="32"/>
  <c r="E26" i="32"/>
  <c r="D26" i="32"/>
  <c r="M25" i="32"/>
  <c r="L25" i="32"/>
  <c r="K25" i="32"/>
  <c r="J25" i="32"/>
  <c r="I25" i="32"/>
  <c r="H25" i="32"/>
  <c r="G25" i="32"/>
  <c r="F25" i="32"/>
  <c r="E25" i="32"/>
  <c r="D25" i="32"/>
  <c r="M24" i="32"/>
  <c r="L24" i="32"/>
  <c r="K24" i="32"/>
  <c r="J24" i="32"/>
  <c r="P24" i="32" s="1"/>
  <c r="I24" i="32"/>
  <c r="H24" i="32"/>
  <c r="G24" i="32"/>
  <c r="F24" i="32"/>
  <c r="E24" i="32"/>
  <c r="D24" i="32"/>
  <c r="M23" i="32"/>
  <c r="L23" i="32"/>
  <c r="K23" i="32"/>
  <c r="J23" i="32"/>
  <c r="P23" i="32" s="1"/>
  <c r="I23" i="32"/>
  <c r="H23" i="32"/>
  <c r="G23" i="32"/>
  <c r="F23" i="32"/>
  <c r="E23" i="32"/>
  <c r="D23" i="32"/>
  <c r="O23" i="32" s="1"/>
  <c r="M22" i="32"/>
  <c r="L22" i="32"/>
  <c r="K22" i="32"/>
  <c r="J22" i="32"/>
  <c r="P22" i="32" s="1"/>
  <c r="I22" i="32"/>
  <c r="H22" i="32"/>
  <c r="G22" i="32"/>
  <c r="F22" i="32"/>
  <c r="E22" i="32"/>
  <c r="D22" i="32"/>
  <c r="M20" i="32"/>
  <c r="L20" i="32"/>
  <c r="K20" i="32"/>
  <c r="J20" i="32"/>
  <c r="P20" i="32" s="1"/>
  <c r="I20" i="32"/>
  <c r="H20" i="32"/>
  <c r="G20" i="32"/>
  <c r="F20" i="32"/>
  <c r="E20" i="32"/>
  <c r="D20" i="32"/>
  <c r="M16" i="32"/>
  <c r="L16" i="32"/>
  <c r="K16" i="32"/>
  <c r="J16" i="32"/>
  <c r="P16" i="32" s="1"/>
  <c r="I16" i="32"/>
  <c r="H16" i="32"/>
  <c r="G16" i="32"/>
  <c r="F16" i="32"/>
  <c r="E16" i="32"/>
  <c r="D16" i="32"/>
  <c r="O16" i="32" s="1"/>
  <c r="M8" i="32"/>
  <c r="L8" i="32"/>
  <c r="K8" i="32"/>
  <c r="J8" i="32"/>
  <c r="P8" i="32" s="1"/>
  <c r="I8" i="32"/>
  <c r="H8" i="32"/>
  <c r="G8" i="32"/>
  <c r="F8" i="32"/>
  <c r="E8" i="32"/>
  <c r="D8" i="32"/>
  <c r="O8" i="32" s="1"/>
  <c r="N138" i="32"/>
  <c r="M138" i="32"/>
  <c r="L138" i="32"/>
  <c r="B114" i="32"/>
  <c r="B89" i="32" s="1"/>
  <c r="B42" i="32" s="1"/>
  <c r="A76" i="32"/>
  <c r="P41" i="32"/>
  <c r="O41" i="32"/>
  <c r="P40" i="32"/>
  <c r="O40" i="32"/>
  <c r="P39" i="32"/>
  <c r="O39" i="32"/>
  <c r="P38" i="32"/>
  <c r="O38" i="32"/>
  <c r="K48" i="32"/>
  <c r="A49" i="32"/>
  <c r="P21" i="32"/>
  <c r="O21" i="32"/>
  <c r="A48" i="32"/>
  <c r="P19" i="32"/>
  <c r="O19" i="32"/>
  <c r="O18" i="32"/>
  <c r="O17" i="32"/>
  <c r="P17" i="32"/>
  <c r="P15" i="32"/>
  <c r="O15" i="32"/>
  <c r="O14" i="32"/>
  <c r="O13" i="32"/>
  <c r="P13" i="32"/>
  <c r="O12" i="32"/>
  <c r="P12" i="32"/>
  <c r="P11" i="32"/>
  <c r="O11" i="32"/>
  <c r="O10" i="32"/>
  <c r="O9" i="32"/>
  <c r="P9" i="32"/>
  <c r="P7" i="32"/>
  <c r="O7" i="32"/>
  <c r="O6" i="32"/>
  <c r="O5" i="32"/>
  <c r="P5" i="32"/>
  <c r="O4" i="32"/>
  <c r="P4" i="32"/>
  <c r="P3" i="32"/>
  <c r="O3" i="32"/>
  <c r="O2" i="32"/>
  <c r="P2" i="32"/>
  <c r="P42" i="32"/>
  <c r="P89" i="32" s="1"/>
  <c r="P152" i="32" s="1"/>
  <c r="F76" i="32"/>
  <c r="F142" i="31"/>
  <c r="E142" i="31"/>
  <c r="N141" i="31" s="1"/>
  <c r="D142" i="31"/>
  <c r="M141" i="31" s="1"/>
  <c r="C142" i="31"/>
  <c r="L141" i="31" s="1"/>
  <c r="F141" i="31"/>
  <c r="E141" i="31"/>
  <c r="N140" i="31" s="1"/>
  <c r="D141" i="31"/>
  <c r="M140" i="31" s="1"/>
  <c r="C141" i="31"/>
  <c r="L140" i="31" s="1"/>
  <c r="F140" i="31"/>
  <c r="E140" i="31"/>
  <c r="N139" i="31" s="1"/>
  <c r="D140" i="31"/>
  <c r="M139" i="31" s="1"/>
  <c r="C140" i="31"/>
  <c r="L139" i="31" s="1"/>
  <c r="F139" i="31"/>
  <c r="E139" i="31"/>
  <c r="D139" i="31"/>
  <c r="C139" i="31"/>
  <c r="F138" i="31"/>
  <c r="E138" i="31"/>
  <c r="D138" i="31"/>
  <c r="C138" i="31"/>
  <c r="F135" i="31"/>
  <c r="E135" i="31"/>
  <c r="D135" i="31"/>
  <c r="C135" i="31"/>
  <c r="F134" i="31"/>
  <c r="E134" i="31"/>
  <c r="D134" i="31"/>
  <c r="C134" i="31"/>
  <c r="F133" i="31"/>
  <c r="E133" i="31"/>
  <c r="D133" i="31"/>
  <c r="C133" i="31"/>
  <c r="F132" i="31"/>
  <c r="E132" i="31"/>
  <c r="D132" i="31"/>
  <c r="C132" i="31"/>
  <c r="F130" i="31"/>
  <c r="E130" i="31"/>
  <c r="D130" i="31"/>
  <c r="C130" i="31"/>
  <c r="F126" i="31"/>
  <c r="E126" i="31"/>
  <c r="D126" i="31"/>
  <c r="C126" i="31"/>
  <c r="M41" i="31"/>
  <c r="L41" i="31"/>
  <c r="K41" i="31"/>
  <c r="J41" i="31"/>
  <c r="I41" i="31"/>
  <c r="H41" i="31"/>
  <c r="G41" i="31"/>
  <c r="F41" i="31"/>
  <c r="E41" i="31"/>
  <c r="D41" i="31"/>
  <c r="M40" i="31"/>
  <c r="L40" i="31"/>
  <c r="K40" i="31"/>
  <c r="J40" i="31"/>
  <c r="I40" i="31"/>
  <c r="H40" i="31"/>
  <c r="G40" i="31"/>
  <c r="F40" i="31"/>
  <c r="E40" i="31"/>
  <c r="M39" i="31"/>
  <c r="L39" i="31"/>
  <c r="K39" i="31"/>
  <c r="J39" i="31"/>
  <c r="I39" i="31"/>
  <c r="H39" i="31"/>
  <c r="G39" i="31"/>
  <c r="F39" i="31"/>
  <c r="E39" i="31"/>
  <c r="D39" i="31"/>
  <c r="M38" i="31"/>
  <c r="L38" i="31"/>
  <c r="K38" i="31"/>
  <c r="J38" i="31"/>
  <c r="I38" i="31"/>
  <c r="H38" i="31"/>
  <c r="G38" i="31"/>
  <c r="F38" i="31"/>
  <c r="E38" i="31"/>
  <c r="D38" i="31"/>
  <c r="M37" i="31"/>
  <c r="L37" i="31"/>
  <c r="K37" i="31"/>
  <c r="J37" i="31"/>
  <c r="P37" i="31" s="1"/>
  <c r="I37" i="31"/>
  <c r="H37" i="31"/>
  <c r="G37" i="31"/>
  <c r="F37" i="31"/>
  <c r="E37" i="31"/>
  <c r="D37" i="31"/>
  <c r="O37" i="31" s="1"/>
  <c r="M36" i="31"/>
  <c r="L36" i="31"/>
  <c r="K36" i="31"/>
  <c r="J36" i="31"/>
  <c r="P36" i="31" s="1"/>
  <c r="I36" i="31"/>
  <c r="H36" i="31"/>
  <c r="G36" i="31"/>
  <c r="F36" i="31"/>
  <c r="E36" i="31"/>
  <c r="D36" i="31"/>
  <c r="M35" i="31"/>
  <c r="L35" i="31"/>
  <c r="K35" i="31"/>
  <c r="J35" i="31"/>
  <c r="P35" i="31" s="1"/>
  <c r="I35" i="31"/>
  <c r="H35" i="31"/>
  <c r="G35" i="31"/>
  <c r="F35" i="31"/>
  <c r="E35" i="31"/>
  <c r="D35" i="31"/>
  <c r="O35" i="31" s="1"/>
  <c r="M34" i="31"/>
  <c r="L34" i="31"/>
  <c r="K34" i="31"/>
  <c r="J34" i="31"/>
  <c r="P34" i="31" s="1"/>
  <c r="I34" i="31"/>
  <c r="H34" i="31"/>
  <c r="G34" i="31"/>
  <c r="F34" i="31"/>
  <c r="E34" i="31"/>
  <c r="D34" i="31"/>
  <c r="O34" i="31" s="1"/>
  <c r="M33" i="31"/>
  <c r="L33" i="31"/>
  <c r="K33" i="31"/>
  <c r="J33" i="31"/>
  <c r="P33" i="31" s="1"/>
  <c r="I33" i="31"/>
  <c r="H33" i="31"/>
  <c r="G33" i="31"/>
  <c r="F33" i="31"/>
  <c r="E33" i="31"/>
  <c r="D33" i="31"/>
  <c r="O33" i="31" s="1"/>
  <c r="M32" i="31"/>
  <c r="L32" i="31"/>
  <c r="K32" i="31"/>
  <c r="J32" i="31"/>
  <c r="P32" i="31" s="1"/>
  <c r="I32" i="31"/>
  <c r="H32" i="31"/>
  <c r="G32" i="31"/>
  <c r="F32" i="31"/>
  <c r="E32" i="31"/>
  <c r="D32" i="31"/>
  <c r="M31" i="31"/>
  <c r="L31" i="31"/>
  <c r="K31" i="31"/>
  <c r="J31" i="31"/>
  <c r="P31" i="31" s="1"/>
  <c r="I31" i="31"/>
  <c r="H31" i="31"/>
  <c r="G31" i="31"/>
  <c r="F31" i="31"/>
  <c r="E31" i="31"/>
  <c r="D31" i="31"/>
  <c r="M30" i="31"/>
  <c r="L30" i="31"/>
  <c r="K30" i="31"/>
  <c r="J30" i="31"/>
  <c r="P30" i="31" s="1"/>
  <c r="I30" i="31"/>
  <c r="H30" i="31"/>
  <c r="G30" i="31"/>
  <c r="F30" i="31"/>
  <c r="E30" i="31"/>
  <c r="D30" i="31"/>
  <c r="O30" i="31" s="1"/>
  <c r="M29" i="31"/>
  <c r="L29" i="31"/>
  <c r="K29" i="31"/>
  <c r="J29" i="31"/>
  <c r="P29" i="31" s="1"/>
  <c r="I29" i="31"/>
  <c r="H29" i="31"/>
  <c r="G29" i="31"/>
  <c r="F29" i="31"/>
  <c r="E29" i="31"/>
  <c r="D29" i="31"/>
  <c r="O29" i="31" s="1"/>
  <c r="M28" i="31"/>
  <c r="L28" i="31"/>
  <c r="K28" i="31"/>
  <c r="J28" i="31"/>
  <c r="P28" i="31" s="1"/>
  <c r="I28" i="31"/>
  <c r="H28" i="31"/>
  <c r="G28" i="31"/>
  <c r="F28" i="31"/>
  <c r="E28" i="31"/>
  <c r="D28" i="31"/>
  <c r="M27" i="31"/>
  <c r="L27" i="31"/>
  <c r="K27" i="31"/>
  <c r="J27" i="31"/>
  <c r="P27" i="31" s="1"/>
  <c r="I27" i="31"/>
  <c r="H27" i="31"/>
  <c r="G27" i="31"/>
  <c r="F27" i="31"/>
  <c r="E27" i="31"/>
  <c r="D27" i="31"/>
  <c r="M26" i="31"/>
  <c r="L26" i="31"/>
  <c r="K26" i="31"/>
  <c r="J26" i="31"/>
  <c r="I26" i="31"/>
  <c r="H26" i="31"/>
  <c r="G26" i="31"/>
  <c r="F26" i="31"/>
  <c r="E26" i="31"/>
  <c r="D26" i="31"/>
  <c r="M25" i="31"/>
  <c r="L25" i="31"/>
  <c r="K25" i="31"/>
  <c r="J25" i="31"/>
  <c r="I25" i="31"/>
  <c r="H25" i="31"/>
  <c r="G25" i="31"/>
  <c r="F25" i="31"/>
  <c r="E25" i="31"/>
  <c r="D25" i="31"/>
  <c r="M24" i="31"/>
  <c r="L24" i="31"/>
  <c r="K24" i="31"/>
  <c r="J24" i="31"/>
  <c r="P24" i="31" s="1"/>
  <c r="I24" i="31"/>
  <c r="H24" i="31"/>
  <c r="G24" i="31"/>
  <c r="F24" i="31"/>
  <c r="E24" i="31"/>
  <c r="D24" i="31"/>
  <c r="M23" i="31"/>
  <c r="L23" i="31"/>
  <c r="K23" i="31"/>
  <c r="J23" i="31"/>
  <c r="P23" i="31" s="1"/>
  <c r="I23" i="31"/>
  <c r="H23" i="31"/>
  <c r="G23" i="31"/>
  <c r="F23" i="31"/>
  <c r="E23" i="31"/>
  <c r="D23" i="31"/>
  <c r="O23" i="31" s="1"/>
  <c r="M22" i="31"/>
  <c r="L22" i="31"/>
  <c r="K22" i="31"/>
  <c r="J22" i="31"/>
  <c r="P22" i="31" s="1"/>
  <c r="I22" i="31"/>
  <c r="H22" i="31"/>
  <c r="G22" i="31"/>
  <c r="F22" i="31"/>
  <c r="E22" i="31"/>
  <c r="D22" i="31"/>
  <c r="O22" i="31" s="1"/>
  <c r="M20" i="31"/>
  <c r="L20" i="31"/>
  <c r="K20" i="31"/>
  <c r="J20" i="31"/>
  <c r="P20" i="31" s="1"/>
  <c r="I20" i="31"/>
  <c r="H20" i="31"/>
  <c r="G20" i="31"/>
  <c r="F20" i="31"/>
  <c r="E20" i="31"/>
  <c r="D20" i="31"/>
  <c r="M16" i="31"/>
  <c r="L16" i="31"/>
  <c r="K16" i="31"/>
  <c r="J16" i="31"/>
  <c r="P16" i="31" s="1"/>
  <c r="I16" i="31"/>
  <c r="H16" i="31"/>
  <c r="G16" i="31"/>
  <c r="F16" i="31"/>
  <c r="E16" i="31"/>
  <c r="D16" i="31"/>
  <c r="O16" i="31" s="1"/>
  <c r="M8" i="31"/>
  <c r="L8" i="31"/>
  <c r="K8" i="31"/>
  <c r="J8" i="31"/>
  <c r="P8" i="31" s="1"/>
  <c r="I8" i="31"/>
  <c r="H8" i="31"/>
  <c r="G8" i="31"/>
  <c r="F8" i="31"/>
  <c r="E8" i="31"/>
  <c r="D8" i="31"/>
  <c r="O8" i="31" s="1"/>
  <c r="N138" i="31"/>
  <c r="M138" i="31"/>
  <c r="L138" i="31"/>
  <c r="B114" i="31"/>
  <c r="S89" i="31" s="1"/>
  <c r="F114" i="31" s="1"/>
  <c r="B152" i="31" s="1"/>
  <c r="F76" i="31"/>
  <c r="P41" i="31"/>
  <c r="O41" i="31"/>
  <c r="P40" i="31"/>
  <c r="O40" i="31"/>
  <c r="P39" i="31"/>
  <c r="O39" i="31"/>
  <c r="P38" i="31"/>
  <c r="O38" i="31"/>
  <c r="K48" i="31"/>
  <c r="A49" i="31"/>
  <c r="P21" i="31"/>
  <c r="O21" i="31"/>
  <c r="A48" i="31"/>
  <c r="P19" i="31"/>
  <c r="O19" i="31"/>
  <c r="O18" i="31"/>
  <c r="P17" i="31"/>
  <c r="O17" i="31"/>
  <c r="P15" i="31"/>
  <c r="O15" i="31"/>
  <c r="O14" i="31"/>
  <c r="P13" i="31"/>
  <c r="O13" i="31"/>
  <c r="O12" i="31"/>
  <c r="P12" i="31"/>
  <c r="P11" i="31"/>
  <c r="O11" i="31"/>
  <c r="O10" i="31"/>
  <c r="P9" i="31"/>
  <c r="O9" i="31"/>
  <c r="P7" i="31"/>
  <c r="O7" i="31"/>
  <c r="O6" i="31"/>
  <c r="P5" i="31"/>
  <c r="O5" i="31"/>
  <c r="O4" i="31"/>
  <c r="P4" i="31"/>
  <c r="P3" i="31"/>
  <c r="O3" i="31"/>
  <c r="O2" i="31"/>
  <c r="P42" i="31"/>
  <c r="P89" i="31" s="1"/>
  <c r="P152" i="31" s="1"/>
  <c r="K62" i="31"/>
  <c r="F142" i="30"/>
  <c r="E142" i="30"/>
  <c r="N141" i="30" s="1"/>
  <c r="D142" i="30"/>
  <c r="M141" i="30" s="1"/>
  <c r="C142" i="30"/>
  <c r="L141" i="30" s="1"/>
  <c r="F141" i="30"/>
  <c r="E141" i="30"/>
  <c r="N140" i="30" s="1"/>
  <c r="D141" i="30"/>
  <c r="M140" i="30" s="1"/>
  <c r="C141" i="30"/>
  <c r="L140" i="30" s="1"/>
  <c r="F140" i="30"/>
  <c r="E140" i="30"/>
  <c r="N139" i="30" s="1"/>
  <c r="D140" i="30"/>
  <c r="M139" i="30" s="1"/>
  <c r="C140" i="30"/>
  <c r="L139" i="30" s="1"/>
  <c r="F139" i="30"/>
  <c r="E139" i="30"/>
  <c r="D139" i="30"/>
  <c r="C139" i="30"/>
  <c r="F138" i="30"/>
  <c r="E138" i="30"/>
  <c r="D138" i="30"/>
  <c r="C138" i="30"/>
  <c r="F135" i="30"/>
  <c r="E135" i="30"/>
  <c r="D135" i="30"/>
  <c r="C135" i="30"/>
  <c r="F134" i="30"/>
  <c r="E134" i="30"/>
  <c r="D134" i="30"/>
  <c r="C134" i="30"/>
  <c r="F133" i="30"/>
  <c r="E133" i="30"/>
  <c r="D133" i="30"/>
  <c r="C133" i="30"/>
  <c r="F132" i="30"/>
  <c r="E132" i="30"/>
  <c r="D132" i="30"/>
  <c r="C132" i="30"/>
  <c r="F130" i="30"/>
  <c r="E130" i="30"/>
  <c r="D130" i="30"/>
  <c r="C130" i="30"/>
  <c r="F126" i="30"/>
  <c r="E126" i="30"/>
  <c r="D126" i="30"/>
  <c r="C126" i="30"/>
  <c r="M41" i="30"/>
  <c r="L41" i="30"/>
  <c r="K41" i="30"/>
  <c r="J41" i="30"/>
  <c r="I41" i="30"/>
  <c r="H41" i="30"/>
  <c r="G41" i="30"/>
  <c r="F41" i="30"/>
  <c r="E41" i="30"/>
  <c r="D41" i="30"/>
  <c r="M40" i="30"/>
  <c r="L40" i="30"/>
  <c r="K40" i="30"/>
  <c r="J40" i="30"/>
  <c r="I40" i="30"/>
  <c r="H40" i="30"/>
  <c r="G40" i="30"/>
  <c r="F40" i="30"/>
  <c r="E40" i="30"/>
  <c r="D40" i="30"/>
  <c r="M39" i="30"/>
  <c r="L39" i="30"/>
  <c r="K39" i="30"/>
  <c r="J39" i="30"/>
  <c r="I39" i="30"/>
  <c r="H39" i="30"/>
  <c r="G39" i="30"/>
  <c r="F39" i="30"/>
  <c r="E39" i="30"/>
  <c r="D39" i="30"/>
  <c r="M38" i="30"/>
  <c r="L38" i="30"/>
  <c r="K38" i="30"/>
  <c r="J38" i="30"/>
  <c r="I38" i="30"/>
  <c r="H38" i="30"/>
  <c r="G38" i="30"/>
  <c r="F38" i="30"/>
  <c r="E38" i="30"/>
  <c r="D38" i="30"/>
  <c r="M37" i="30"/>
  <c r="L37" i="30"/>
  <c r="K37" i="30"/>
  <c r="J37" i="30"/>
  <c r="P37" i="30" s="1"/>
  <c r="I37" i="30"/>
  <c r="H37" i="30"/>
  <c r="G37" i="30"/>
  <c r="F37" i="30"/>
  <c r="E37" i="30"/>
  <c r="D37" i="30"/>
  <c r="O37" i="30" s="1"/>
  <c r="M36" i="30"/>
  <c r="L36" i="30"/>
  <c r="K36" i="30"/>
  <c r="J36" i="30"/>
  <c r="I36" i="30"/>
  <c r="H36" i="30"/>
  <c r="G36" i="30"/>
  <c r="F36" i="30"/>
  <c r="E36" i="30"/>
  <c r="D36" i="30"/>
  <c r="M35" i="30"/>
  <c r="L35" i="30"/>
  <c r="K35" i="30"/>
  <c r="J35" i="30"/>
  <c r="P35" i="30" s="1"/>
  <c r="I35" i="30"/>
  <c r="H35" i="30"/>
  <c r="G35" i="30"/>
  <c r="F35" i="30"/>
  <c r="E35" i="30"/>
  <c r="D35" i="30"/>
  <c r="O35" i="30" s="1"/>
  <c r="M34" i="30"/>
  <c r="L34" i="30"/>
  <c r="K34" i="30"/>
  <c r="J34" i="30"/>
  <c r="P34" i="30" s="1"/>
  <c r="I34" i="30"/>
  <c r="H34" i="30"/>
  <c r="G34" i="30"/>
  <c r="F34" i="30"/>
  <c r="E34" i="30"/>
  <c r="D34" i="30"/>
  <c r="M33" i="30"/>
  <c r="L33" i="30"/>
  <c r="K33" i="30"/>
  <c r="J33" i="30"/>
  <c r="P33" i="30" s="1"/>
  <c r="I33" i="30"/>
  <c r="H33" i="30"/>
  <c r="G33" i="30"/>
  <c r="F33" i="30"/>
  <c r="E33" i="30"/>
  <c r="D33" i="30"/>
  <c r="O33" i="30" s="1"/>
  <c r="M32" i="30"/>
  <c r="L32" i="30"/>
  <c r="K32" i="30"/>
  <c r="J32" i="30"/>
  <c r="P32" i="30" s="1"/>
  <c r="I32" i="30"/>
  <c r="H32" i="30"/>
  <c r="G32" i="30"/>
  <c r="F32" i="30"/>
  <c r="E32" i="30"/>
  <c r="D32" i="30"/>
  <c r="M31" i="30"/>
  <c r="L31" i="30"/>
  <c r="K31" i="30"/>
  <c r="J31" i="30"/>
  <c r="I31" i="30"/>
  <c r="H31" i="30"/>
  <c r="G31" i="30"/>
  <c r="F31" i="30"/>
  <c r="E31" i="30"/>
  <c r="D31" i="30"/>
  <c r="O31" i="30" s="1"/>
  <c r="M30" i="30"/>
  <c r="L30" i="30"/>
  <c r="K30" i="30"/>
  <c r="J30" i="30"/>
  <c r="P30" i="30" s="1"/>
  <c r="I30" i="30"/>
  <c r="H30" i="30"/>
  <c r="G30" i="30"/>
  <c r="F30" i="30"/>
  <c r="E30" i="30"/>
  <c r="D30" i="30"/>
  <c r="M29" i="30"/>
  <c r="L29" i="30"/>
  <c r="K29" i="30"/>
  <c r="J29" i="30"/>
  <c r="P29" i="30" s="1"/>
  <c r="I29" i="30"/>
  <c r="H29" i="30"/>
  <c r="G29" i="30"/>
  <c r="F29" i="30"/>
  <c r="E29" i="30"/>
  <c r="D29" i="30"/>
  <c r="O29" i="30" s="1"/>
  <c r="M28" i="30"/>
  <c r="L28" i="30"/>
  <c r="K28" i="30"/>
  <c r="J28" i="30"/>
  <c r="P28" i="30" s="1"/>
  <c r="I28" i="30"/>
  <c r="H28" i="30"/>
  <c r="G28" i="30"/>
  <c r="F28" i="30"/>
  <c r="E28" i="30"/>
  <c r="D28" i="30"/>
  <c r="M27" i="30"/>
  <c r="L27" i="30"/>
  <c r="K27" i="30"/>
  <c r="J27" i="30"/>
  <c r="P27" i="30" s="1"/>
  <c r="I27" i="30"/>
  <c r="H27" i="30"/>
  <c r="G27" i="30"/>
  <c r="F27" i="30"/>
  <c r="E27" i="30"/>
  <c r="D27" i="30"/>
  <c r="O27" i="30" s="1"/>
  <c r="M26" i="30"/>
  <c r="L26" i="30"/>
  <c r="K26" i="30"/>
  <c r="J26" i="30"/>
  <c r="P26" i="30" s="1"/>
  <c r="I26" i="30"/>
  <c r="H26" i="30"/>
  <c r="G26" i="30"/>
  <c r="F26" i="30"/>
  <c r="E26" i="30"/>
  <c r="D26" i="30"/>
  <c r="M25" i="30"/>
  <c r="L25" i="30"/>
  <c r="K25" i="30"/>
  <c r="J25" i="30"/>
  <c r="I25" i="30"/>
  <c r="H25" i="30"/>
  <c r="G25" i="30"/>
  <c r="F25" i="30"/>
  <c r="E25" i="30"/>
  <c r="D25" i="30"/>
  <c r="O25" i="30" s="1"/>
  <c r="M24" i="30"/>
  <c r="L24" i="30"/>
  <c r="K24" i="30"/>
  <c r="J24" i="30"/>
  <c r="P24" i="30" s="1"/>
  <c r="I24" i="30"/>
  <c r="H24" i="30"/>
  <c r="G24" i="30"/>
  <c r="F24" i="30"/>
  <c r="E24" i="30"/>
  <c r="D24" i="30"/>
  <c r="M23" i="30"/>
  <c r="L23" i="30"/>
  <c r="K23" i="30"/>
  <c r="J23" i="30"/>
  <c r="P23" i="30" s="1"/>
  <c r="I23" i="30"/>
  <c r="H23" i="30"/>
  <c r="G23" i="30"/>
  <c r="F23" i="30"/>
  <c r="E23" i="30"/>
  <c r="D23" i="30"/>
  <c r="O23" i="30" s="1"/>
  <c r="M22" i="30"/>
  <c r="L22" i="30"/>
  <c r="K22" i="30"/>
  <c r="J22" i="30"/>
  <c r="P22" i="30" s="1"/>
  <c r="I22" i="30"/>
  <c r="H22" i="30"/>
  <c r="G22" i="30"/>
  <c r="F22" i="30"/>
  <c r="E22" i="30"/>
  <c r="D22" i="30"/>
  <c r="M20" i="30"/>
  <c r="L20" i="30"/>
  <c r="K20" i="30"/>
  <c r="J20" i="30"/>
  <c r="P20" i="30" s="1"/>
  <c r="I20" i="30"/>
  <c r="H20" i="30"/>
  <c r="G20" i="30"/>
  <c r="F20" i="30"/>
  <c r="E20" i="30"/>
  <c r="D20" i="30"/>
  <c r="M16" i="30"/>
  <c r="L16" i="30"/>
  <c r="K16" i="30"/>
  <c r="J16" i="30"/>
  <c r="P16" i="30" s="1"/>
  <c r="I16" i="30"/>
  <c r="H16" i="30"/>
  <c r="G16" i="30"/>
  <c r="F16" i="30"/>
  <c r="E16" i="30"/>
  <c r="D16" i="30"/>
  <c r="O16" i="30" s="1"/>
  <c r="M8" i="30"/>
  <c r="L8" i="30"/>
  <c r="K8" i="30"/>
  <c r="J8" i="30"/>
  <c r="P8" i="30" s="1"/>
  <c r="I8" i="30"/>
  <c r="H8" i="30"/>
  <c r="G8" i="30"/>
  <c r="F8" i="30"/>
  <c r="E8" i="30"/>
  <c r="D8" i="30"/>
  <c r="O8" i="30" s="1"/>
  <c r="N138" i="30"/>
  <c r="M138" i="30"/>
  <c r="L138" i="30"/>
  <c r="B114" i="30"/>
  <c r="B89" i="30" s="1"/>
  <c r="B42" i="30" s="1"/>
  <c r="A76" i="30"/>
  <c r="P41" i="30"/>
  <c r="O41" i="30"/>
  <c r="P40" i="30"/>
  <c r="O40" i="30"/>
  <c r="P39" i="30"/>
  <c r="O39" i="30"/>
  <c r="P38" i="30"/>
  <c r="O38" i="30"/>
  <c r="K48" i="30"/>
  <c r="A49" i="30"/>
  <c r="P21" i="30"/>
  <c r="O21" i="30"/>
  <c r="P19" i="30"/>
  <c r="O19" i="30"/>
  <c r="O18" i="30"/>
  <c r="P18" i="30"/>
  <c r="P17" i="30"/>
  <c r="O17" i="30"/>
  <c r="P15" i="30"/>
  <c r="O15" i="30"/>
  <c r="O14" i="30"/>
  <c r="P14" i="30"/>
  <c r="P13" i="30"/>
  <c r="O13" i="30"/>
  <c r="O12" i="30"/>
  <c r="P12" i="30"/>
  <c r="P11" i="30"/>
  <c r="O11" i="30"/>
  <c r="O10" i="30"/>
  <c r="P10" i="30"/>
  <c r="P9" i="30"/>
  <c r="O9" i="30"/>
  <c r="P7" i="30"/>
  <c r="O7" i="30"/>
  <c r="O6" i="30"/>
  <c r="P6" i="30"/>
  <c r="P5" i="30"/>
  <c r="O5" i="30"/>
  <c r="O4" i="30"/>
  <c r="P4" i="30"/>
  <c r="P3" i="30"/>
  <c r="O3" i="30"/>
  <c r="O2" i="30"/>
  <c r="P2" i="30"/>
  <c r="P42" i="30"/>
  <c r="P89" i="30" s="1"/>
  <c r="P152" i="30" s="1"/>
  <c r="F76" i="30"/>
  <c r="F142" i="29"/>
  <c r="E142" i="29"/>
  <c r="N141" i="29" s="1"/>
  <c r="D142" i="29"/>
  <c r="M141" i="29" s="1"/>
  <c r="C142" i="29"/>
  <c r="L141" i="29" s="1"/>
  <c r="F141" i="29"/>
  <c r="E141" i="29"/>
  <c r="N140" i="29" s="1"/>
  <c r="D141" i="29"/>
  <c r="M140" i="29" s="1"/>
  <c r="C141" i="29"/>
  <c r="L140" i="29" s="1"/>
  <c r="F140" i="29"/>
  <c r="E140" i="29"/>
  <c r="N139" i="29" s="1"/>
  <c r="D140" i="29"/>
  <c r="M139" i="29" s="1"/>
  <c r="C140" i="29"/>
  <c r="L139" i="29" s="1"/>
  <c r="F139" i="29"/>
  <c r="E139" i="29"/>
  <c r="D139" i="29"/>
  <c r="C139" i="29"/>
  <c r="F138" i="29"/>
  <c r="E138" i="29"/>
  <c r="D138" i="29"/>
  <c r="C138" i="29"/>
  <c r="F135" i="29"/>
  <c r="E135" i="29"/>
  <c r="D135" i="29"/>
  <c r="C135" i="29"/>
  <c r="F134" i="29"/>
  <c r="E134" i="29"/>
  <c r="D134" i="29"/>
  <c r="C134" i="29"/>
  <c r="F133" i="29"/>
  <c r="E133" i="29"/>
  <c r="D133" i="29"/>
  <c r="C133" i="29"/>
  <c r="F132" i="29"/>
  <c r="E132" i="29"/>
  <c r="D132" i="29"/>
  <c r="C132" i="29"/>
  <c r="F130" i="29"/>
  <c r="E130" i="29"/>
  <c r="D130" i="29"/>
  <c r="C130" i="29"/>
  <c r="F126" i="29"/>
  <c r="E126" i="29"/>
  <c r="D126" i="29"/>
  <c r="C126" i="29"/>
  <c r="M41" i="29"/>
  <c r="L41" i="29"/>
  <c r="K41" i="29"/>
  <c r="J41" i="29"/>
  <c r="I41" i="29"/>
  <c r="H41" i="29"/>
  <c r="G41" i="29"/>
  <c r="F41" i="29"/>
  <c r="E41" i="29"/>
  <c r="D41" i="29"/>
  <c r="M40" i="29"/>
  <c r="L40" i="29"/>
  <c r="K40" i="29"/>
  <c r="J40" i="29"/>
  <c r="I40" i="29"/>
  <c r="H40" i="29"/>
  <c r="G40" i="29"/>
  <c r="F40" i="29"/>
  <c r="E40" i="29"/>
  <c r="D40" i="29"/>
  <c r="M39" i="29"/>
  <c r="L39" i="29"/>
  <c r="K39" i="29"/>
  <c r="J39" i="29"/>
  <c r="I39" i="29"/>
  <c r="H39" i="29"/>
  <c r="G39" i="29"/>
  <c r="F39" i="29"/>
  <c r="E39" i="29"/>
  <c r="D39" i="29"/>
  <c r="M38" i="29"/>
  <c r="L38" i="29"/>
  <c r="K38" i="29"/>
  <c r="J38" i="29"/>
  <c r="I38" i="29"/>
  <c r="H38" i="29"/>
  <c r="G38" i="29"/>
  <c r="F38" i="29"/>
  <c r="E38" i="29"/>
  <c r="D38" i="29"/>
  <c r="M37" i="29"/>
  <c r="L37" i="29"/>
  <c r="K37" i="29"/>
  <c r="J37" i="29"/>
  <c r="P37" i="29" s="1"/>
  <c r="I37" i="29"/>
  <c r="H37" i="29"/>
  <c r="G37" i="29"/>
  <c r="F37" i="29"/>
  <c r="E37" i="29"/>
  <c r="D37" i="29"/>
  <c r="O37" i="29" s="1"/>
  <c r="M36" i="29"/>
  <c r="L36" i="29"/>
  <c r="K36" i="29"/>
  <c r="J36" i="29"/>
  <c r="I36" i="29"/>
  <c r="H36" i="29"/>
  <c r="G36" i="29"/>
  <c r="F36" i="29"/>
  <c r="E36" i="29"/>
  <c r="D36" i="29"/>
  <c r="M35" i="29"/>
  <c r="L35" i="29"/>
  <c r="K35" i="29"/>
  <c r="J35" i="29"/>
  <c r="P35" i="29" s="1"/>
  <c r="I35" i="29"/>
  <c r="H35" i="29"/>
  <c r="G35" i="29"/>
  <c r="F35" i="29"/>
  <c r="E35" i="29"/>
  <c r="D35" i="29"/>
  <c r="M34" i="29"/>
  <c r="L34" i="29"/>
  <c r="K34" i="29"/>
  <c r="J34" i="29"/>
  <c r="P34" i="29" s="1"/>
  <c r="I34" i="29"/>
  <c r="H34" i="29"/>
  <c r="G34" i="29"/>
  <c r="F34" i="29"/>
  <c r="E34" i="29"/>
  <c r="D34" i="29"/>
  <c r="O34" i="29" s="1"/>
  <c r="M33" i="29"/>
  <c r="L33" i="29"/>
  <c r="K33" i="29"/>
  <c r="J33" i="29"/>
  <c r="P33" i="29" s="1"/>
  <c r="I33" i="29"/>
  <c r="H33" i="29"/>
  <c r="G33" i="29"/>
  <c r="F33" i="29"/>
  <c r="E33" i="29"/>
  <c r="D33" i="29"/>
  <c r="O33" i="29" s="1"/>
  <c r="M32" i="29"/>
  <c r="L32" i="29"/>
  <c r="K32" i="29"/>
  <c r="J32" i="29"/>
  <c r="P32" i="29" s="1"/>
  <c r="I32" i="29"/>
  <c r="H32" i="29"/>
  <c r="G32" i="29"/>
  <c r="F32" i="29"/>
  <c r="E32" i="29"/>
  <c r="D32" i="29"/>
  <c r="M31" i="29"/>
  <c r="L31" i="29"/>
  <c r="K31" i="29"/>
  <c r="J31" i="29"/>
  <c r="P31" i="29" s="1"/>
  <c r="I31" i="29"/>
  <c r="H31" i="29"/>
  <c r="G31" i="29"/>
  <c r="F31" i="29"/>
  <c r="E31" i="29"/>
  <c r="D31" i="29"/>
  <c r="M30" i="29"/>
  <c r="L30" i="29"/>
  <c r="K30" i="29"/>
  <c r="J30" i="29"/>
  <c r="P30" i="29" s="1"/>
  <c r="I30" i="29"/>
  <c r="H30" i="29"/>
  <c r="G30" i="29"/>
  <c r="F30" i="29"/>
  <c r="E30" i="29"/>
  <c r="D30" i="29"/>
  <c r="O30" i="29" s="1"/>
  <c r="M29" i="29"/>
  <c r="L29" i="29"/>
  <c r="K29" i="29"/>
  <c r="J29" i="29"/>
  <c r="P29" i="29" s="1"/>
  <c r="I29" i="29"/>
  <c r="H29" i="29"/>
  <c r="G29" i="29"/>
  <c r="F29" i="29"/>
  <c r="E29" i="29"/>
  <c r="D29" i="29"/>
  <c r="O29" i="29" s="1"/>
  <c r="M28" i="29"/>
  <c r="L28" i="29"/>
  <c r="K28" i="29"/>
  <c r="J28" i="29"/>
  <c r="P28" i="29" s="1"/>
  <c r="I28" i="29"/>
  <c r="H28" i="29"/>
  <c r="G28" i="29"/>
  <c r="F28" i="29"/>
  <c r="E28" i="29"/>
  <c r="D28" i="29"/>
  <c r="M27" i="29"/>
  <c r="L27" i="29"/>
  <c r="K27" i="29"/>
  <c r="J27" i="29"/>
  <c r="I27" i="29"/>
  <c r="H27" i="29"/>
  <c r="G27" i="29"/>
  <c r="F27" i="29"/>
  <c r="E27" i="29"/>
  <c r="D27" i="29"/>
  <c r="M26" i="29"/>
  <c r="L26" i="29"/>
  <c r="K26" i="29"/>
  <c r="J26" i="29"/>
  <c r="I26" i="29"/>
  <c r="H26" i="29"/>
  <c r="G26" i="29"/>
  <c r="F26" i="29"/>
  <c r="E26" i="29"/>
  <c r="D26" i="29"/>
  <c r="M25" i="29"/>
  <c r="L25" i="29"/>
  <c r="K25" i="29"/>
  <c r="J25" i="29"/>
  <c r="I25" i="29"/>
  <c r="H25" i="29"/>
  <c r="G25" i="29"/>
  <c r="F25" i="29"/>
  <c r="E25" i="29"/>
  <c r="D25" i="29"/>
  <c r="M24" i="29"/>
  <c r="L24" i="29"/>
  <c r="K24" i="29"/>
  <c r="J24" i="29"/>
  <c r="P24" i="29" s="1"/>
  <c r="I24" i="29"/>
  <c r="H24" i="29"/>
  <c r="G24" i="29"/>
  <c r="F24" i="29"/>
  <c r="E24" i="29"/>
  <c r="D24" i="29"/>
  <c r="M23" i="29"/>
  <c r="L23" i="29"/>
  <c r="K23" i="29"/>
  <c r="J23" i="29"/>
  <c r="P23" i="29" s="1"/>
  <c r="I23" i="29"/>
  <c r="H23" i="29"/>
  <c r="G23" i="29"/>
  <c r="F23" i="29"/>
  <c r="E23" i="29"/>
  <c r="D23" i="29"/>
  <c r="M22" i="29"/>
  <c r="L22" i="29"/>
  <c r="K22" i="29"/>
  <c r="J22" i="29"/>
  <c r="P22" i="29" s="1"/>
  <c r="I22" i="29"/>
  <c r="H22" i="29"/>
  <c r="G22" i="29"/>
  <c r="F22" i="29"/>
  <c r="E22" i="29"/>
  <c r="D22" i="29"/>
  <c r="O22" i="29" s="1"/>
  <c r="M20" i="29"/>
  <c r="L20" i="29"/>
  <c r="K20" i="29"/>
  <c r="J20" i="29"/>
  <c r="P20" i="29" s="1"/>
  <c r="I20" i="29"/>
  <c r="H20" i="29"/>
  <c r="G20" i="29"/>
  <c r="F20" i="29"/>
  <c r="E20" i="29"/>
  <c r="D20" i="29"/>
  <c r="M16" i="29"/>
  <c r="L16" i="29"/>
  <c r="K16" i="29"/>
  <c r="J16" i="29"/>
  <c r="P16" i="29" s="1"/>
  <c r="I16" i="29"/>
  <c r="H16" i="29"/>
  <c r="G16" i="29"/>
  <c r="F16" i="29"/>
  <c r="E16" i="29"/>
  <c r="D16" i="29"/>
  <c r="O16" i="29" s="1"/>
  <c r="M8" i="29"/>
  <c r="L8" i="29"/>
  <c r="K8" i="29"/>
  <c r="J8" i="29"/>
  <c r="P8" i="29" s="1"/>
  <c r="I8" i="29"/>
  <c r="H8" i="29"/>
  <c r="G8" i="29"/>
  <c r="F8" i="29"/>
  <c r="E8" i="29"/>
  <c r="D8" i="29"/>
  <c r="O8" i="29" s="1"/>
  <c r="N138" i="29"/>
  <c r="M138" i="29"/>
  <c r="L138" i="29"/>
  <c r="B114" i="29"/>
  <c r="B89" i="29" s="1"/>
  <c r="B42" i="29" s="1"/>
  <c r="F76" i="29"/>
  <c r="P41" i="29"/>
  <c r="O41" i="29"/>
  <c r="P40" i="29"/>
  <c r="O40" i="29"/>
  <c r="P39" i="29"/>
  <c r="O39" i="29"/>
  <c r="P38" i="29"/>
  <c r="O38" i="29"/>
  <c r="K48" i="29"/>
  <c r="A49" i="29"/>
  <c r="P21" i="29"/>
  <c r="O21" i="29"/>
  <c r="A48" i="29"/>
  <c r="P19" i="29"/>
  <c r="O19" i="29"/>
  <c r="O18" i="29"/>
  <c r="P17" i="29"/>
  <c r="O17" i="29"/>
  <c r="P15" i="29"/>
  <c r="O15" i="29"/>
  <c r="O14" i="29"/>
  <c r="P13" i="29"/>
  <c r="O13" i="29"/>
  <c r="O12" i="29"/>
  <c r="P12" i="29"/>
  <c r="P11" i="29"/>
  <c r="O11" i="29"/>
  <c r="O10" i="29"/>
  <c r="P9" i="29"/>
  <c r="O9" i="29"/>
  <c r="P7" i="29"/>
  <c r="O7" i="29"/>
  <c r="O6" i="29"/>
  <c r="P5" i="29"/>
  <c r="O5" i="29"/>
  <c r="O4" i="29"/>
  <c r="P4" i="29"/>
  <c r="P3" i="29"/>
  <c r="O3" i="29"/>
  <c r="O2" i="29"/>
  <c r="P2" i="29"/>
  <c r="P42" i="29"/>
  <c r="P89" i="29" s="1"/>
  <c r="P152" i="29" s="1"/>
  <c r="K62" i="29"/>
  <c r="F142" i="28"/>
  <c r="E142" i="28"/>
  <c r="N141" i="28" s="1"/>
  <c r="D142" i="28"/>
  <c r="M141" i="28" s="1"/>
  <c r="C142" i="28"/>
  <c r="L141" i="28" s="1"/>
  <c r="F141" i="28"/>
  <c r="E141" i="28"/>
  <c r="N140" i="28" s="1"/>
  <c r="D141" i="28"/>
  <c r="M140" i="28" s="1"/>
  <c r="C141" i="28"/>
  <c r="L140" i="28" s="1"/>
  <c r="F140" i="28"/>
  <c r="E140" i="28"/>
  <c r="N139" i="28" s="1"/>
  <c r="D140" i="28"/>
  <c r="M139" i="28" s="1"/>
  <c r="C140" i="28"/>
  <c r="L139" i="28" s="1"/>
  <c r="F139" i="28"/>
  <c r="E139" i="28"/>
  <c r="D139" i="28"/>
  <c r="C139" i="28"/>
  <c r="F138" i="28"/>
  <c r="E138" i="28"/>
  <c r="D138" i="28"/>
  <c r="C138" i="28"/>
  <c r="F135" i="28"/>
  <c r="E135" i="28"/>
  <c r="D135" i="28"/>
  <c r="C135" i="28"/>
  <c r="F134" i="28"/>
  <c r="E134" i="28"/>
  <c r="D134" i="28"/>
  <c r="C134" i="28"/>
  <c r="F133" i="28"/>
  <c r="E133" i="28"/>
  <c r="D133" i="28"/>
  <c r="C133" i="28"/>
  <c r="F132" i="28"/>
  <c r="E132" i="28"/>
  <c r="D132" i="28"/>
  <c r="C132" i="28"/>
  <c r="F130" i="28"/>
  <c r="E130" i="28"/>
  <c r="D130" i="28"/>
  <c r="C130" i="28"/>
  <c r="F126" i="28"/>
  <c r="E126" i="28"/>
  <c r="D126" i="28"/>
  <c r="C126" i="28"/>
  <c r="M41" i="28"/>
  <c r="L41" i="28"/>
  <c r="K41" i="28"/>
  <c r="J41" i="28"/>
  <c r="I41" i="28"/>
  <c r="H41" i="28"/>
  <c r="G41" i="28"/>
  <c r="F41" i="28"/>
  <c r="E41" i="28"/>
  <c r="D41" i="28"/>
  <c r="M40" i="28"/>
  <c r="L40" i="28"/>
  <c r="I40" i="28"/>
  <c r="H40" i="28"/>
  <c r="G40" i="28"/>
  <c r="F40" i="28"/>
  <c r="E40" i="28"/>
  <c r="M39" i="28"/>
  <c r="L39" i="28"/>
  <c r="K39" i="28"/>
  <c r="I39" i="28"/>
  <c r="H39" i="28"/>
  <c r="G39" i="28"/>
  <c r="F39" i="28"/>
  <c r="E39" i="28"/>
  <c r="D39" i="28"/>
  <c r="M38" i="28"/>
  <c r="L38" i="28"/>
  <c r="K38" i="28"/>
  <c r="J38" i="28"/>
  <c r="I38" i="28"/>
  <c r="H38" i="28"/>
  <c r="G38" i="28"/>
  <c r="F38" i="28"/>
  <c r="E38" i="28"/>
  <c r="D38" i="28"/>
  <c r="M37" i="28"/>
  <c r="L37" i="28"/>
  <c r="K37" i="28"/>
  <c r="J37" i="28"/>
  <c r="P37" i="28" s="1"/>
  <c r="I37" i="28"/>
  <c r="H37" i="28"/>
  <c r="G37" i="28"/>
  <c r="F37" i="28"/>
  <c r="E37" i="28"/>
  <c r="D37" i="28"/>
  <c r="O37" i="28" s="1"/>
  <c r="M36" i="28"/>
  <c r="L36" i="28"/>
  <c r="K36" i="28"/>
  <c r="J36" i="28"/>
  <c r="I36" i="28"/>
  <c r="H36" i="28"/>
  <c r="G36" i="28"/>
  <c r="F36" i="28"/>
  <c r="E36" i="28"/>
  <c r="D36" i="28"/>
  <c r="M35" i="28"/>
  <c r="L35" i="28"/>
  <c r="K35" i="28"/>
  <c r="J35" i="28"/>
  <c r="P35" i="28" s="1"/>
  <c r="I35" i="28"/>
  <c r="H35" i="28"/>
  <c r="G35" i="28"/>
  <c r="F35" i="28"/>
  <c r="E35" i="28"/>
  <c r="D35" i="28"/>
  <c r="O35" i="28" s="1"/>
  <c r="M34" i="28"/>
  <c r="L34" i="28"/>
  <c r="K34" i="28"/>
  <c r="J34" i="28"/>
  <c r="P34" i="28" s="1"/>
  <c r="I34" i="28"/>
  <c r="H34" i="28"/>
  <c r="G34" i="28"/>
  <c r="F34" i="28"/>
  <c r="E34" i="28"/>
  <c r="D34" i="28"/>
  <c r="O34" i="28" s="1"/>
  <c r="M33" i="28"/>
  <c r="L33" i="28"/>
  <c r="K33" i="28"/>
  <c r="J33" i="28"/>
  <c r="P33" i="28" s="1"/>
  <c r="I33" i="28"/>
  <c r="H33" i="28"/>
  <c r="G33" i="28"/>
  <c r="F33" i="28"/>
  <c r="E33" i="28"/>
  <c r="D33" i="28"/>
  <c r="O33" i="28" s="1"/>
  <c r="M32" i="28"/>
  <c r="L32" i="28"/>
  <c r="K32" i="28"/>
  <c r="J32" i="28"/>
  <c r="P32" i="28" s="1"/>
  <c r="I32" i="28"/>
  <c r="H32" i="28"/>
  <c r="G32" i="28"/>
  <c r="F32" i="28"/>
  <c r="E32" i="28"/>
  <c r="D32" i="28"/>
  <c r="O32" i="28" s="1"/>
  <c r="M31" i="28"/>
  <c r="L31" i="28"/>
  <c r="K31" i="28"/>
  <c r="J31" i="28"/>
  <c r="P31" i="28" s="1"/>
  <c r="I31" i="28"/>
  <c r="H31" i="28"/>
  <c r="G31" i="28"/>
  <c r="F31" i="28"/>
  <c r="E31" i="28"/>
  <c r="D31" i="28"/>
  <c r="O31" i="28" s="1"/>
  <c r="M30" i="28"/>
  <c r="L30" i="28"/>
  <c r="K30" i="28"/>
  <c r="J30" i="28"/>
  <c r="P30" i="28" s="1"/>
  <c r="I30" i="28"/>
  <c r="H30" i="28"/>
  <c r="G30" i="28"/>
  <c r="F30" i="28"/>
  <c r="E30" i="28"/>
  <c r="D30" i="28"/>
  <c r="O30" i="28" s="1"/>
  <c r="M29" i="28"/>
  <c r="L29" i="28"/>
  <c r="K29" i="28"/>
  <c r="J29" i="28"/>
  <c r="P29" i="28" s="1"/>
  <c r="I29" i="28"/>
  <c r="H29" i="28"/>
  <c r="G29" i="28"/>
  <c r="F29" i="28"/>
  <c r="E29" i="28"/>
  <c r="D29" i="28"/>
  <c r="O29" i="28" s="1"/>
  <c r="M28" i="28"/>
  <c r="L28" i="28"/>
  <c r="I28" i="28"/>
  <c r="H28" i="28"/>
  <c r="G28" i="28"/>
  <c r="F28" i="28"/>
  <c r="E28" i="28"/>
  <c r="D28" i="28"/>
  <c r="O28" i="28" s="1"/>
  <c r="M27" i="28"/>
  <c r="L27" i="28"/>
  <c r="K27" i="28"/>
  <c r="J27" i="28"/>
  <c r="P27" i="28" s="1"/>
  <c r="I27" i="28"/>
  <c r="H27" i="28"/>
  <c r="G27" i="28"/>
  <c r="F27" i="28"/>
  <c r="E27" i="28"/>
  <c r="D27" i="28"/>
  <c r="M26" i="28"/>
  <c r="L26" i="28"/>
  <c r="K26" i="28"/>
  <c r="J26" i="28"/>
  <c r="I26" i="28"/>
  <c r="H26" i="28"/>
  <c r="G26" i="28"/>
  <c r="F26" i="28"/>
  <c r="E26" i="28"/>
  <c r="D26" i="28"/>
  <c r="M25" i="28"/>
  <c r="L25" i="28"/>
  <c r="K25" i="28"/>
  <c r="J25" i="28"/>
  <c r="I25" i="28"/>
  <c r="H25" i="28"/>
  <c r="G25" i="28"/>
  <c r="F25" i="28"/>
  <c r="E25" i="28"/>
  <c r="D25" i="28"/>
  <c r="M24" i="28"/>
  <c r="L24" i="28"/>
  <c r="K24" i="28"/>
  <c r="J24" i="28"/>
  <c r="P24" i="28" s="1"/>
  <c r="I24" i="28"/>
  <c r="H24" i="28"/>
  <c r="G24" i="28"/>
  <c r="F24" i="28"/>
  <c r="E24" i="28"/>
  <c r="D24" i="28"/>
  <c r="O24" i="28" s="1"/>
  <c r="M23" i="28"/>
  <c r="L23" i="28"/>
  <c r="K23" i="28"/>
  <c r="J23" i="28"/>
  <c r="P23" i="28" s="1"/>
  <c r="I23" i="28"/>
  <c r="H23" i="28"/>
  <c r="G23" i="28"/>
  <c r="F23" i="28"/>
  <c r="E23" i="28"/>
  <c r="D23" i="28"/>
  <c r="O23" i="28" s="1"/>
  <c r="M22" i="28"/>
  <c r="L22" i="28"/>
  <c r="K22" i="28"/>
  <c r="J22" i="28"/>
  <c r="P22" i="28" s="1"/>
  <c r="I22" i="28"/>
  <c r="H22" i="28"/>
  <c r="G22" i="28"/>
  <c r="F22" i="28"/>
  <c r="E22" i="28"/>
  <c r="D22" i="28"/>
  <c r="O22" i="28" s="1"/>
  <c r="M20" i="28"/>
  <c r="L20" i="28"/>
  <c r="K20" i="28"/>
  <c r="J20" i="28"/>
  <c r="P20" i="28" s="1"/>
  <c r="I20" i="28"/>
  <c r="H20" i="28"/>
  <c r="G20" i="28"/>
  <c r="F20" i="28"/>
  <c r="E20" i="28"/>
  <c r="D20" i="28"/>
  <c r="O20" i="28" s="1"/>
  <c r="M16" i="28"/>
  <c r="L16" i="28"/>
  <c r="K16" i="28"/>
  <c r="J16" i="28"/>
  <c r="P16" i="28" s="1"/>
  <c r="I16" i="28"/>
  <c r="H16" i="28"/>
  <c r="G16" i="28"/>
  <c r="F16" i="28"/>
  <c r="E16" i="28"/>
  <c r="D16" i="28"/>
  <c r="O16" i="28" s="1"/>
  <c r="M8" i="28"/>
  <c r="L8" i="28"/>
  <c r="K8" i="28"/>
  <c r="J8" i="28"/>
  <c r="P8" i="28" s="1"/>
  <c r="I8" i="28"/>
  <c r="H8" i="28"/>
  <c r="G8" i="28"/>
  <c r="F8" i="28"/>
  <c r="E8" i="28"/>
  <c r="D8" i="28"/>
  <c r="O8" i="28" s="1"/>
  <c r="N138" i="28"/>
  <c r="M138" i="28"/>
  <c r="L138" i="28"/>
  <c r="B114" i="28"/>
  <c r="B89" i="28" s="1"/>
  <c r="B42" i="28" s="1"/>
  <c r="F76" i="28"/>
  <c r="A50" i="28"/>
  <c r="P41" i="28"/>
  <c r="O41" i="28"/>
  <c r="P40" i="28"/>
  <c r="O40" i="28"/>
  <c r="P39" i="28"/>
  <c r="O39" i="28"/>
  <c r="P38" i="28"/>
  <c r="O38" i="28"/>
  <c r="P28" i="28"/>
  <c r="K48" i="28"/>
  <c r="B62" i="28"/>
  <c r="A49" i="28"/>
  <c r="O21" i="28"/>
  <c r="P21" i="28"/>
  <c r="A48" i="28"/>
  <c r="O19" i="28"/>
  <c r="P19" i="28"/>
  <c r="P18" i="28"/>
  <c r="O18" i="28"/>
  <c r="P17" i="28"/>
  <c r="O15" i="28"/>
  <c r="P15" i="28"/>
  <c r="P14" i="28"/>
  <c r="O14" i="28"/>
  <c r="P13" i="28"/>
  <c r="P12" i="28"/>
  <c r="O12" i="28"/>
  <c r="O11" i="28"/>
  <c r="P11" i="28"/>
  <c r="P10" i="28"/>
  <c r="O10" i="28"/>
  <c r="P9" i="28"/>
  <c r="O7" i="28"/>
  <c r="P7" i="28"/>
  <c r="P6" i="28"/>
  <c r="O6" i="28"/>
  <c r="P5" i="28"/>
  <c r="P4" i="28"/>
  <c r="O4" i="28"/>
  <c r="O3" i="28"/>
  <c r="P3" i="28"/>
  <c r="P2" i="28"/>
  <c r="O2" i="28"/>
  <c r="P42" i="28"/>
  <c r="P89" i="28" s="1"/>
  <c r="P152" i="28" s="1"/>
  <c r="K62" i="28"/>
  <c r="F142" i="27"/>
  <c r="E142" i="27"/>
  <c r="N141" i="27" s="1"/>
  <c r="D142" i="27"/>
  <c r="M141" i="27" s="1"/>
  <c r="C142" i="27"/>
  <c r="L141" i="27" s="1"/>
  <c r="F141" i="27"/>
  <c r="E141" i="27"/>
  <c r="N140" i="27" s="1"/>
  <c r="D141" i="27"/>
  <c r="M140" i="27" s="1"/>
  <c r="C141" i="27"/>
  <c r="L140" i="27" s="1"/>
  <c r="F140" i="27"/>
  <c r="E140" i="27"/>
  <c r="N139" i="27" s="1"/>
  <c r="D140" i="27"/>
  <c r="M139" i="27" s="1"/>
  <c r="C140" i="27"/>
  <c r="L139" i="27" s="1"/>
  <c r="F139" i="27"/>
  <c r="E139" i="27"/>
  <c r="D139" i="27"/>
  <c r="C139" i="27"/>
  <c r="F138" i="27"/>
  <c r="E138" i="27"/>
  <c r="D138" i="27"/>
  <c r="C138" i="27"/>
  <c r="F135" i="27"/>
  <c r="E135" i="27"/>
  <c r="D135" i="27"/>
  <c r="C135" i="27"/>
  <c r="F134" i="27"/>
  <c r="E134" i="27"/>
  <c r="D134" i="27"/>
  <c r="C134" i="27"/>
  <c r="F133" i="27"/>
  <c r="E133" i="27"/>
  <c r="D133" i="27"/>
  <c r="C133" i="27"/>
  <c r="F132" i="27"/>
  <c r="E132" i="27"/>
  <c r="D132" i="27"/>
  <c r="C132" i="27"/>
  <c r="F130" i="27"/>
  <c r="E130" i="27"/>
  <c r="D130" i="27"/>
  <c r="C130" i="27"/>
  <c r="F126" i="27"/>
  <c r="E126" i="27"/>
  <c r="D126" i="27"/>
  <c r="C126" i="27"/>
  <c r="M41" i="27"/>
  <c r="L41" i="27"/>
  <c r="K41" i="27"/>
  <c r="J41" i="27"/>
  <c r="I41" i="27"/>
  <c r="H41" i="27"/>
  <c r="G41" i="27"/>
  <c r="F41" i="27"/>
  <c r="E41" i="27"/>
  <c r="D41" i="27"/>
  <c r="M40" i="27"/>
  <c r="L40" i="27"/>
  <c r="K40" i="27"/>
  <c r="J40" i="27"/>
  <c r="I40" i="27"/>
  <c r="H40" i="27"/>
  <c r="G40" i="27"/>
  <c r="F40" i="27"/>
  <c r="E40" i="27"/>
  <c r="D40" i="27"/>
  <c r="M39" i="27"/>
  <c r="L39" i="27"/>
  <c r="K39" i="27"/>
  <c r="J39" i="27"/>
  <c r="I39" i="27"/>
  <c r="H39" i="27"/>
  <c r="G39" i="27"/>
  <c r="F39" i="27"/>
  <c r="E39" i="27"/>
  <c r="D39" i="27"/>
  <c r="M38" i="27"/>
  <c r="L38" i="27"/>
  <c r="K38" i="27"/>
  <c r="J38" i="27"/>
  <c r="I38" i="27"/>
  <c r="H38" i="27"/>
  <c r="G38" i="27"/>
  <c r="F38" i="27"/>
  <c r="E38" i="27"/>
  <c r="D38" i="27"/>
  <c r="M37" i="27"/>
  <c r="L37" i="27"/>
  <c r="K37" i="27"/>
  <c r="J37" i="27"/>
  <c r="P37" i="27" s="1"/>
  <c r="I37" i="27"/>
  <c r="H37" i="27"/>
  <c r="G37" i="27"/>
  <c r="F37" i="27"/>
  <c r="E37" i="27"/>
  <c r="D37" i="27"/>
  <c r="O37" i="27" s="1"/>
  <c r="M36" i="27"/>
  <c r="L36" i="27"/>
  <c r="K36" i="27"/>
  <c r="J36" i="27"/>
  <c r="I36" i="27"/>
  <c r="H36" i="27"/>
  <c r="G36" i="27"/>
  <c r="F36" i="27"/>
  <c r="E36" i="27"/>
  <c r="D36" i="27"/>
  <c r="M35" i="27"/>
  <c r="L35" i="27"/>
  <c r="K35" i="27"/>
  <c r="J35" i="27"/>
  <c r="P35" i="27" s="1"/>
  <c r="I35" i="27"/>
  <c r="H35" i="27"/>
  <c r="G35" i="27"/>
  <c r="F35" i="27"/>
  <c r="E35" i="27"/>
  <c r="D35" i="27"/>
  <c r="M34" i="27"/>
  <c r="L34" i="27"/>
  <c r="K34" i="27"/>
  <c r="J34" i="27"/>
  <c r="P34" i="27" s="1"/>
  <c r="I34" i="27"/>
  <c r="H34" i="27"/>
  <c r="G34" i="27"/>
  <c r="F34" i="27"/>
  <c r="E34" i="27"/>
  <c r="D34" i="27"/>
  <c r="O34" i="27" s="1"/>
  <c r="M33" i="27"/>
  <c r="L33" i="27"/>
  <c r="K33" i="27"/>
  <c r="J33" i="27"/>
  <c r="P33" i="27" s="1"/>
  <c r="I33" i="27"/>
  <c r="H33" i="27"/>
  <c r="G33" i="27"/>
  <c r="F33" i="27"/>
  <c r="E33" i="27"/>
  <c r="D33" i="27"/>
  <c r="O33" i="27" s="1"/>
  <c r="M32" i="27"/>
  <c r="L32" i="27"/>
  <c r="K32" i="27"/>
  <c r="J32" i="27"/>
  <c r="P32" i="27" s="1"/>
  <c r="I32" i="27"/>
  <c r="H32" i="27"/>
  <c r="G32" i="27"/>
  <c r="F32" i="27"/>
  <c r="E32" i="27"/>
  <c r="D32" i="27"/>
  <c r="O32" i="27" s="1"/>
  <c r="M31" i="27"/>
  <c r="L31" i="27"/>
  <c r="K31" i="27"/>
  <c r="J31" i="27"/>
  <c r="P31" i="27" s="1"/>
  <c r="I31" i="27"/>
  <c r="H31" i="27"/>
  <c r="G31" i="27"/>
  <c r="F31" i="27"/>
  <c r="E31" i="27"/>
  <c r="D31" i="27"/>
  <c r="M30" i="27"/>
  <c r="L30" i="27"/>
  <c r="K30" i="27"/>
  <c r="J30" i="27"/>
  <c r="P30" i="27" s="1"/>
  <c r="I30" i="27"/>
  <c r="H30" i="27"/>
  <c r="G30" i="27"/>
  <c r="F30" i="27"/>
  <c r="E30" i="27"/>
  <c r="D30" i="27"/>
  <c r="O30" i="27" s="1"/>
  <c r="M29" i="27"/>
  <c r="L29" i="27"/>
  <c r="K29" i="27"/>
  <c r="J29" i="27"/>
  <c r="P29" i="27" s="1"/>
  <c r="I29" i="27"/>
  <c r="H29" i="27"/>
  <c r="G29" i="27"/>
  <c r="F29" i="27"/>
  <c r="E29" i="27"/>
  <c r="D29" i="27"/>
  <c r="O29" i="27" s="1"/>
  <c r="L28" i="27"/>
  <c r="K28" i="27"/>
  <c r="I28" i="27"/>
  <c r="H28" i="27"/>
  <c r="G28" i="27"/>
  <c r="F28" i="27"/>
  <c r="E28" i="27"/>
  <c r="D28" i="27"/>
  <c r="O28" i="27" s="1"/>
  <c r="M27" i="27"/>
  <c r="L27" i="27"/>
  <c r="K27" i="27"/>
  <c r="J27" i="27"/>
  <c r="I27" i="27"/>
  <c r="H27" i="27"/>
  <c r="G27" i="27"/>
  <c r="F27" i="27"/>
  <c r="E27" i="27"/>
  <c r="D27" i="27"/>
  <c r="M26" i="27"/>
  <c r="L26" i="27"/>
  <c r="K26" i="27"/>
  <c r="J26" i="27"/>
  <c r="I26" i="27"/>
  <c r="H26" i="27"/>
  <c r="G26" i="27"/>
  <c r="F26" i="27"/>
  <c r="E26" i="27"/>
  <c r="D26" i="27"/>
  <c r="M25" i="27"/>
  <c r="L25" i="27"/>
  <c r="K25" i="27"/>
  <c r="J25" i="27"/>
  <c r="I25" i="27"/>
  <c r="H25" i="27"/>
  <c r="G25" i="27"/>
  <c r="F25" i="27"/>
  <c r="E25" i="27"/>
  <c r="D25" i="27"/>
  <c r="M24" i="27"/>
  <c r="L24" i="27"/>
  <c r="K24" i="27"/>
  <c r="J24" i="27"/>
  <c r="P24" i="27" s="1"/>
  <c r="I24" i="27"/>
  <c r="H24" i="27"/>
  <c r="G24" i="27"/>
  <c r="F24" i="27"/>
  <c r="E24" i="27"/>
  <c r="D24" i="27"/>
  <c r="O24" i="27" s="1"/>
  <c r="M23" i="27"/>
  <c r="L23" i="27"/>
  <c r="K23" i="27"/>
  <c r="J23" i="27"/>
  <c r="P23" i="27" s="1"/>
  <c r="I23" i="27"/>
  <c r="H23" i="27"/>
  <c r="G23" i="27"/>
  <c r="F23" i="27"/>
  <c r="E23" i="27"/>
  <c r="D23" i="27"/>
  <c r="M22" i="27"/>
  <c r="L22" i="27"/>
  <c r="K22" i="27"/>
  <c r="J22" i="27"/>
  <c r="P22" i="27" s="1"/>
  <c r="I22" i="27"/>
  <c r="H22" i="27"/>
  <c r="G22" i="27"/>
  <c r="F22" i="27"/>
  <c r="E22" i="27"/>
  <c r="D22" i="27"/>
  <c r="O22" i="27" s="1"/>
  <c r="M20" i="27"/>
  <c r="L20" i="27"/>
  <c r="K20" i="27"/>
  <c r="J20" i="27"/>
  <c r="P20" i="27" s="1"/>
  <c r="I20" i="27"/>
  <c r="H20" i="27"/>
  <c r="G20" i="27"/>
  <c r="F20" i="27"/>
  <c r="E20" i="27"/>
  <c r="D20" i="27"/>
  <c r="O20" i="27" s="1"/>
  <c r="M16" i="27"/>
  <c r="L16" i="27"/>
  <c r="K16" i="27"/>
  <c r="J16" i="27"/>
  <c r="P16" i="27" s="1"/>
  <c r="I16" i="27"/>
  <c r="H16" i="27"/>
  <c r="G16" i="27"/>
  <c r="F16" i="27"/>
  <c r="E16" i="27"/>
  <c r="D16" i="27"/>
  <c r="O16" i="27" s="1"/>
  <c r="M8" i="27"/>
  <c r="L8" i="27"/>
  <c r="K8" i="27"/>
  <c r="J8" i="27"/>
  <c r="P8" i="27" s="1"/>
  <c r="I8" i="27"/>
  <c r="H8" i="27"/>
  <c r="G8" i="27"/>
  <c r="F8" i="27"/>
  <c r="E8" i="27"/>
  <c r="D8" i="27"/>
  <c r="O8" i="27" s="1"/>
  <c r="N138" i="27"/>
  <c r="M138" i="27"/>
  <c r="L138" i="27"/>
  <c r="B114" i="27"/>
  <c r="S89" i="27" s="1"/>
  <c r="F114" i="27" s="1"/>
  <c r="B152" i="27" s="1"/>
  <c r="F76" i="27"/>
  <c r="P41" i="27"/>
  <c r="O41" i="27"/>
  <c r="P40" i="27"/>
  <c r="O40" i="27"/>
  <c r="P39" i="27"/>
  <c r="O39" i="27"/>
  <c r="P38" i="27"/>
  <c r="O38" i="27"/>
  <c r="P28" i="27"/>
  <c r="K48" i="27"/>
  <c r="B62" i="27"/>
  <c r="A49" i="27"/>
  <c r="O21" i="27"/>
  <c r="P21" i="27"/>
  <c r="A48" i="27"/>
  <c r="P19" i="27"/>
  <c r="O19" i="27"/>
  <c r="O18" i="27"/>
  <c r="P17" i="27"/>
  <c r="P15" i="27"/>
  <c r="O15" i="27"/>
  <c r="O14" i="27"/>
  <c r="P13" i="27"/>
  <c r="O12" i="27"/>
  <c r="P12" i="27"/>
  <c r="P11" i="27"/>
  <c r="O11" i="27"/>
  <c r="O10" i="27"/>
  <c r="P9" i="27"/>
  <c r="P7" i="27"/>
  <c r="O7" i="27"/>
  <c r="O6" i="27"/>
  <c r="P5" i="27"/>
  <c r="O4" i="27"/>
  <c r="P4" i="27"/>
  <c r="P3" i="27"/>
  <c r="O2" i="27"/>
  <c r="P42" i="27"/>
  <c r="P89" i="27" s="1"/>
  <c r="P152" i="27" s="1"/>
  <c r="K62" i="27"/>
  <c r="F142" i="26"/>
  <c r="E142" i="26"/>
  <c r="N141" i="26" s="1"/>
  <c r="D142" i="26"/>
  <c r="M141" i="26" s="1"/>
  <c r="C142" i="26"/>
  <c r="L141" i="26" s="1"/>
  <c r="F141" i="26"/>
  <c r="E141" i="26"/>
  <c r="N140" i="26" s="1"/>
  <c r="D141" i="26"/>
  <c r="M140" i="26" s="1"/>
  <c r="C141" i="26"/>
  <c r="L140" i="26" s="1"/>
  <c r="F140" i="26"/>
  <c r="E140" i="26"/>
  <c r="N139" i="26" s="1"/>
  <c r="D140" i="26"/>
  <c r="M139" i="26" s="1"/>
  <c r="C140" i="26"/>
  <c r="L139" i="26" s="1"/>
  <c r="F139" i="26"/>
  <c r="E139" i="26"/>
  <c r="D139" i="26"/>
  <c r="C139" i="26"/>
  <c r="F138" i="26"/>
  <c r="E138" i="26"/>
  <c r="D138" i="26"/>
  <c r="C138" i="26"/>
  <c r="F135" i="26"/>
  <c r="E135" i="26"/>
  <c r="D135" i="26"/>
  <c r="C135" i="26"/>
  <c r="F134" i="26"/>
  <c r="E134" i="26"/>
  <c r="D134" i="26"/>
  <c r="C134" i="26"/>
  <c r="F133" i="26"/>
  <c r="E133" i="26"/>
  <c r="D133" i="26"/>
  <c r="C133" i="26"/>
  <c r="F132" i="26"/>
  <c r="E132" i="26"/>
  <c r="D132" i="26"/>
  <c r="C132" i="26"/>
  <c r="F130" i="26"/>
  <c r="E130" i="26"/>
  <c r="D130" i="26"/>
  <c r="C130" i="26"/>
  <c r="F126" i="26"/>
  <c r="E126" i="26"/>
  <c r="D126" i="26"/>
  <c r="C126" i="26"/>
  <c r="M41" i="26"/>
  <c r="L41" i="26"/>
  <c r="K41" i="26"/>
  <c r="J41" i="26"/>
  <c r="I41" i="26"/>
  <c r="H41" i="26"/>
  <c r="G41" i="26"/>
  <c r="F41" i="26"/>
  <c r="E41" i="26"/>
  <c r="D41" i="26"/>
  <c r="M40" i="26"/>
  <c r="L40" i="26"/>
  <c r="K40" i="26"/>
  <c r="J40" i="26"/>
  <c r="I40" i="26"/>
  <c r="H40" i="26"/>
  <c r="G40" i="26"/>
  <c r="F40" i="26"/>
  <c r="E40" i="26"/>
  <c r="D40" i="26"/>
  <c r="M39" i="26"/>
  <c r="L39" i="26"/>
  <c r="K39" i="26"/>
  <c r="J39" i="26"/>
  <c r="I39" i="26"/>
  <c r="H39" i="26"/>
  <c r="G39" i="26"/>
  <c r="F39" i="26"/>
  <c r="E39" i="26"/>
  <c r="D39" i="26"/>
  <c r="M38" i="26"/>
  <c r="L38" i="26"/>
  <c r="K38" i="26"/>
  <c r="J38" i="26"/>
  <c r="I38" i="26"/>
  <c r="H38" i="26"/>
  <c r="G38" i="26"/>
  <c r="F38" i="26"/>
  <c r="E38" i="26"/>
  <c r="D38" i="26"/>
  <c r="M37" i="26"/>
  <c r="L37" i="26"/>
  <c r="K37" i="26"/>
  <c r="J37" i="26"/>
  <c r="P37" i="26" s="1"/>
  <c r="I37" i="26"/>
  <c r="H37" i="26"/>
  <c r="G37" i="26"/>
  <c r="F37" i="26"/>
  <c r="E37" i="26"/>
  <c r="D37" i="26"/>
  <c r="M36" i="26"/>
  <c r="L36" i="26"/>
  <c r="K36" i="26"/>
  <c r="J36" i="26"/>
  <c r="I36" i="26"/>
  <c r="H36" i="26"/>
  <c r="G36" i="26"/>
  <c r="F36" i="26"/>
  <c r="E36" i="26"/>
  <c r="D36" i="26"/>
  <c r="M35" i="26"/>
  <c r="L35" i="26"/>
  <c r="K35" i="26"/>
  <c r="J35" i="26"/>
  <c r="P35" i="26" s="1"/>
  <c r="I35" i="26"/>
  <c r="H35" i="26"/>
  <c r="G35" i="26"/>
  <c r="F35" i="26"/>
  <c r="E35" i="26"/>
  <c r="D35" i="26"/>
  <c r="O35" i="26" s="1"/>
  <c r="M34" i="26"/>
  <c r="L34" i="26"/>
  <c r="K34" i="26"/>
  <c r="J34" i="26"/>
  <c r="P34" i="26" s="1"/>
  <c r="I34" i="26"/>
  <c r="H34" i="26"/>
  <c r="G34" i="26"/>
  <c r="F34" i="26"/>
  <c r="E34" i="26"/>
  <c r="D34" i="26"/>
  <c r="M33" i="26"/>
  <c r="L33" i="26"/>
  <c r="K33" i="26"/>
  <c r="J33" i="26"/>
  <c r="P33" i="26" s="1"/>
  <c r="I33" i="26"/>
  <c r="H33" i="26"/>
  <c r="G33" i="26"/>
  <c r="F33" i="26"/>
  <c r="E33" i="26"/>
  <c r="D33" i="26"/>
  <c r="M32" i="26"/>
  <c r="L32" i="26"/>
  <c r="K32" i="26"/>
  <c r="J32" i="26"/>
  <c r="P32" i="26" s="1"/>
  <c r="I32" i="26"/>
  <c r="H32" i="26"/>
  <c r="G32" i="26"/>
  <c r="F32" i="26"/>
  <c r="E32" i="26"/>
  <c r="D32" i="26"/>
  <c r="O32" i="26" s="1"/>
  <c r="M31" i="26"/>
  <c r="L31" i="26"/>
  <c r="K31" i="26"/>
  <c r="J31" i="26"/>
  <c r="P31" i="26" s="1"/>
  <c r="I31" i="26"/>
  <c r="H31" i="26"/>
  <c r="G31" i="26"/>
  <c r="F31" i="26"/>
  <c r="E31" i="26"/>
  <c r="D31" i="26"/>
  <c r="O31" i="26" s="1"/>
  <c r="M30" i="26"/>
  <c r="L30" i="26"/>
  <c r="K30" i="26"/>
  <c r="J30" i="26"/>
  <c r="P30" i="26" s="1"/>
  <c r="I30" i="26"/>
  <c r="H30" i="26"/>
  <c r="G30" i="26"/>
  <c r="F30" i="26"/>
  <c r="E30" i="26"/>
  <c r="D30" i="26"/>
  <c r="M29" i="26"/>
  <c r="L29" i="26"/>
  <c r="K29" i="26"/>
  <c r="J29" i="26"/>
  <c r="P29" i="26" s="1"/>
  <c r="I29" i="26"/>
  <c r="H29" i="26"/>
  <c r="G29" i="26"/>
  <c r="F29" i="26"/>
  <c r="E29" i="26"/>
  <c r="D29" i="26"/>
  <c r="M28" i="26"/>
  <c r="L28" i="26"/>
  <c r="K28" i="26"/>
  <c r="J28" i="26"/>
  <c r="P28" i="26" s="1"/>
  <c r="I28" i="26"/>
  <c r="H28" i="26"/>
  <c r="G28" i="26"/>
  <c r="F28" i="26"/>
  <c r="E28" i="26"/>
  <c r="D28" i="26"/>
  <c r="O28" i="26" s="1"/>
  <c r="M27" i="26"/>
  <c r="L27" i="26"/>
  <c r="K27" i="26"/>
  <c r="J27" i="26"/>
  <c r="P27" i="26" s="1"/>
  <c r="I27" i="26"/>
  <c r="H27" i="26"/>
  <c r="G27" i="26"/>
  <c r="F27" i="26"/>
  <c r="E27" i="26"/>
  <c r="D27" i="26"/>
  <c r="O27" i="26" s="1"/>
  <c r="M26" i="26"/>
  <c r="L26" i="26"/>
  <c r="K26" i="26"/>
  <c r="J26" i="26"/>
  <c r="I26" i="26"/>
  <c r="H26" i="26"/>
  <c r="G26" i="26"/>
  <c r="F26" i="26"/>
  <c r="E26" i="26"/>
  <c r="D26" i="26"/>
  <c r="M25" i="26"/>
  <c r="L25" i="26"/>
  <c r="K25" i="26"/>
  <c r="J25" i="26"/>
  <c r="I25" i="26"/>
  <c r="H25" i="26"/>
  <c r="G25" i="26"/>
  <c r="F25" i="26"/>
  <c r="E25" i="26"/>
  <c r="D25" i="26"/>
  <c r="M24" i="26"/>
  <c r="L24" i="26"/>
  <c r="K24" i="26"/>
  <c r="J24" i="26"/>
  <c r="P24" i="26" s="1"/>
  <c r="I24" i="26"/>
  <c r="H24" i="26"/>
  <c r="G24" i="26"/>
  <c r="F24" i="26"/>
  <c r="E24" i="26"/>
  <c r="D24" i="26"/>
  <c r="O24" i="26" s="1"/>
  <c r="M23" i="26"/>
  <c r="L23" i="26"/>
  <c r="K23" i="26"/>
  <c r="J23" i="26"/>
  <c r="P23" i="26" s="1"/>
  <c r="I23" i="26"/>
  <c r="H23" i="26"/>
  <c r="G23" i="26"/>
  <c r="F23" i="26"/>
  <c r="E23" i="26"/>
  <c r="D23" i="26"/>
  <c r="O23" i="26" s="1"/>
  <c r="M22" i="26"/>
  <c r="L22" i="26"/>
  <c r="K22" i="26"/>
  <c r="J22" i="26"/>
  <c r="P22" i="26" s="1"/>
  <c r="I22" i="26"/>
  <c r="H22" i="26"/>
  <c r="G22" i="26"/>
  <c r="F22" i="26"/>
  <c r="E22" i="26"/>
  <c r="D22" i="26"/>
  <c r="M20" i="26"/>
  <c r="L20" i="26"/>
  <c r="K20" i="26"/>
  <c r="J20" i="26"/>
  <c r="P20" i="26" s="1"/>
  <c r="I20" i="26"/>
  <c r="H20" i="26"/>
  <c r="G20" i="26"/>
  <c r="F20" i="26"/>
  <c r="E20" i="26"/>
  <c r="D20" i="26"/>
  <c r="O20" i="26" s="1"/>
  <c r="M16" i="26"/>
  <c r="L16" i="26"/>
  <c r="K16" i="26"/>
  <c r="J16" i="26"/>
  <c r="P16" i="26" s="1"/>
  <c r="I16" i="26"/>
  <c r="H16" i="26"/>
  <c r="G16" i="26"/>
  <c r="F16" i="26"/>
  <c r="E16" i="26"/>
  <c r="D16" i="26"/>
  <c r="O16" i="26" s="1"/>
  <c r="M8" i="26"/>
  <c r="L8" i="26"/>
  <c r="K8" i="26"/>
  <c r="J8" i="26"/>
  <c r="P8" i="26" s="1"/>
  <c r="I8" i="26"/>
  <c r="H8" i="26"/>
  <c r="G8" i="26"/>
  <c r="F8" i="26"/>
  <c r="E8" i="26"/>
  <c r="D8" i="26"/>
  <c r="O8" i="26" s="1"/>
  <c r="N138" i="26"/>
  <c r="M138" i="26"/>
  <c r="L138" i="26"/>
  <c r="B114" i="26"/>
  <c r="S89" i="26" s="1"/>
  <c r="F114" i="26" s="1"/>
  <c r="B152" i="26" s="1"/>
  <c r="A76" i="26"/>
  <c r="P41" i="26"/>
  <c r="O41" i="26"/>
  <c r="P40" i="26"/>
  <c r="O40" i="26"/>
  <c r="P39" i="26"/>
  <c r="O39" i="26"/>
  <c r="P38" i="26"/>
  <c r="O38" i="26"/>
  <c r="K48" i="26"/>
  <c r="B62" i="26"/>
  <c r="A49" i="26"/>
  <c r="P21" i="26"/>
  <c r="A48" i="26"/>
  <c r="P19" i="26"/>
  <c r="O19" i="26"/>
  <c r="O18" i="26"/>
  <c r="P17" i="26"/>
  <c r="O17" i="26"/>
  <c r="P15" i="26"/>
  <c r="O15" i="26"/>
  <c r="O14" i="26"/>
  <c r="O13" i="26"/>
  <c r="P13" i="26"/>
  <c r="O12" i="26"/>
  <c r="P12" i="26"/>
  <c r="P11" i="26"/>
  <c r="O11" i="26"/>
  <c r="O10" i="26"/>
  <c r="O9" i="26"/>
  <c r="P9" i="26"/>
  <c r="P7" i="26"/>
  <c r="O7" i="26"/>
  <c r="O6" i="26"/>
  <c r="P5" i="26"/>
  <c r="O5" i="26"/>
  <c r="O4" i="26"/>
  <c r="P4" i="26"/>
  <c r="P3" i="26"/>
  <c r="O3" i="26"/>
  <c r="O2" i="26"/>
  <c r="P2" i="26"/>
  <c r="P42" i="26"/>
  <c r="P89" i="26" s="1"/>
  <c r="P152" i="26" s="1"/>
  <c r="F76" i="26"/>
  <c r="F142" i="25"/>
  <c r="E142" i="25"/>
  <c r="N141" i="25" s="1"/>
  <c r="D142" i="25"/>
  <c r="C142" i="25"/>
  <c r="L141" i="25" s="1"/>
  <c r="F141" i="25"/>
  <c r="E141" i="25"/>
  <c r="N140" i="25" s="1"/>
  <c r="D141" i="25"/>
  <c r="M140" i="25" s="1"/>
  <c r="C141" i="25"/>
  <c r="L140" i="25" s="1"/>
  <c r="F140" i="25"/>
  <c r="E140" i="25"/>
  <c r="N139" i="25" s="1"/>
  <c r="D140" i="25"/>
  <c r="M139" i="25" s="1"/>
  <c r="C140" i="25"/>
  <c r="L139" i="25" s="1"/>
  <c r="F139" i="25"/>
  <c r="E139" i="25"/>
  <c r="D139" i="25"/>
  <c r="C139" i="25"/>
  <c r="F138" i="25"/>
  <c r="E138" i="25"/>
  <c r="D138" i="25"/>
  <c r="C138" i="25"/>
  <c r="F135" i="25"/>
  <c r="E135" i="25"/>
  <c r="D135" i="25"/>
  <c r="C135" i="25"/>
  <c r="F134" i="25"/>
  <c r="E134" i="25"/>
  <c r="D134" i="25"/>
  <c r="C134" i="25"/>
  <c r="F133" i="25"/>
  <c r="E133" i="25"/>
  <c r="D133" i="25"/>
  <c r="C133" i="25"/>
  <c r="F132" i="25"/>
  <c r="E132" i="25"/>
  <c r="D132" i="25"/>
  <c r="C132" i="25"/>
  <c r="F130" i="25"/>
  <c r="E130" i="25"/>
  <c r="D130" i="25"/>
  <c r="C130" i="25"/>
  <c r="F126" i="25"/>
  <c r="E126" i="25"/>
  <c r="D126" i="25"/>
  <c r="C126" i="25"/>
  <c r="M41" i="25"/>
  <c r="L41" i="25"/>
  <c r="K41" i="25"/>
  <c r="J41" i="25"/>
  <c r="I41" i="25"/>
  <c r="H41" i="25"/>
  <c r="G41" i="25"/>
  <c r="F41" i="25"/>
  <c r="E41" i="25"/>
  <c r="D41" i="25"/>
  <c r="M40" i="25"/>
  <c r="L40" i="25"/>
  <c r="K40" i="25"/>
  <c r="J40" i="25"/>
  <c r="I40" i="25"/>
  <c r="H40" i="25"/>
  <c r="G40" i="25"/>
  <c r="F40" i="25"/>
  <c r="E40" i="25"/>
  <c r="D40" i="25"/>
  <c r="M39" i="25"/>
  <c r="L39" i="25"/>
  <c r="K39" i="25"/>
  <c r="J39" i="25"/>
  <c r="I39" i="25"/>
  <c r="H39" i="25"/>
  <c r="G39" i="25"/>
  <c r="F39" i="25"/>
  <c r="E39" i="25"/>
  <c r="D39" i="25"/>
  <c r="M38" i="25"/>
  <c r="L38" i="25"/>
  <c r="K38" i="25"/>
  <c r="J38" i="25"/>
  <c r="I38" i="25"/>
  <c r="H38" i="25"/>
  <c r="G38" i="25"/>
  <c r="F38" i="25"/>
  <c r="E38" i="25"/>
  <c r="D38" i="25"/>
  <c r="M37" i="25"/>
  <c r="L37" i="25"/>
  <c r="K37" i="25"/>
  <c r="J37" i="25"/>
  <c r="I37" i="25"/>
  <c r="H37" i="25"/>
  <c r="G37" i="25"/>
  <c r="F37" i="25"/>
  <c r="E37" i="25"/>
  <c r="D37" i="25"/>
  <c r="M36" i="25"/>
  <c r="L36" i="25"/>
  <c r="K36" i="25"/>
  <c r="J36" i="25"/>
  <c r="I36" i="25"/>
  <c r="H36" i="25"/>
  <c r="G36" i="25"/>
  <c r="F36" i="25"/>
  <c r="E36" i="25"/>
  <c r="D36" i="25"/>
  <c r="M35" i="25"/>
  <c r="L35" i="25"/>
  <c r="K35" i="25"/>
  <c r="J35" i="25"/>
  <c r="P35" i="25" s="1"/>
  <c r="I35" i="25"/>
  <c r="H35" i="25"/>
  <c r="G35" i="25"/>
  <c r="F35" i="25"/>
  <c r="E35" i="25"/>
  <c r="D35" i="25"/>
  <c r="M34" i="25"/>
  <c r="L34" i="25"/>
  <c r="K34" i="25"/>
  <c r="J34" i="25"/>
  <c r="P34" i="25" s="1"/>
  <c r="I34" i="25"/>
  <c r="H34" i="25"/>
  <c r="G34" i="25"/>
  <c r="F34" i="25"/>
  <c r="E34" i="25"/>
  <c r="D34" i="25"/>
  <c r="O34" i="25" s="1"/>
  <c r="M33" i="25"/>
  <c r="L33" i="25"/>
  <c r="K33" i="25"/>
  <c r="J33" i="25"/>
  <c r="P33" i="25" s="1"/>
  <c r="I33" i="25"/>
  <c r="H33" i="25"/>
  <c r="G33" i="25"/>
  <c r="F33" i="25"/>
  <c r="E33" i="25"/>
  <c r="D33" i="25"/>
  <c r="M32" i="25"/>
  <c r="L32" i="25"/>
  <c r="K32" i="25"/>
  <c r="J32" i="25"/>
  <c r="P32" i="25" s="1"/>
  <c r="I32" i="25"/>
  <c r="H32" i="25"/>
  <c r="G32" i="25"/>
  <c r="F32" i="25"/>
  <c r="E32" i="25"/>
  <c r="D32" i="25"/>
  <c r="O32" i="25" s="1"/>
  <c r="M31" i="25"/>
  <c r="L31" i="25"/>
  <c r="K31" i="25"/>
  <c r="J31" i="25"/>
  <c r="P31" i="25" s="1"/>
  <c r="I31" i="25"/>
  <c r="H31" i="25"/>
  <c r="G31" i="25"/>
  <c r="F31" i="25"/>
  <c r="E31" i="25"/>
  <c r="D31" i="25"/>
  <c r="M30" i="25"/>
  <c r="L30" i="25"/>
  <c r="K30" i="25"/>
  <c r="J30" i="25"/>
  <c r="P30" i="25" s="1"/>
  <c r="I30" i="25"/>
  <c r="H30" i="25"/>
  <c r="G30" i="25"/>
  <c r="F30" i="25"/>
  <c r="E30" i="25"/>
  <c r="D30" i="25"/>
  <c r="O30" i="25" s="1"/>
  <c r="M29" i="25"/>
  <c r="L29" i="25"/>
  <c r="K29" i="25"/>
  <c r="J29" i="25"/>
  <c r="P29" i="25" s="1"/>
  <c r="I29" i="25"/>
  <c r="H29" i="25"/>
  <c r="G29" i="25"/>
  <c r="F29" i="25"/>
  <c r="E29" i="25"/>
  <c r="D29" i="25"/>
  <c r="M28" i="25"/>
  <c r="L28" i="25"/>
  <c r="K28" i="25"/>
  <c r="J28" i="25"/>
  <c r="P28" i="25" s="1"/>
  <c r="I28" i="25"/>
  <c r="H28" i="25"/>
  <c r="G28" i="25"/>
  <c r="F28" i="25"/>
  <c r="E28" i="25"/>
  <c r="D28" i="25"/>
  <c r="O28" i="25" s="1"/>
  <c r="M27" i="25"/>
  <c r="L27" i="25"/>
  <c r="K27" i="25"/>
  <c r="J27" i="25"/>
  <c r="P27" i="25" s="1"/>
  <c r="I27" i="25"/>
  <c r="H27" i="25"/>
  <c r="G27" i="25"/>
  <c r="F27" i="25"/>
  <c r="E27" i="25"/>
  <c r="D27" i="25"/>
  <c r="M26" i="25"/>
  <c r="L26" i="25"/>
  <c r="K26" i="25"/>
  <c r="J26" i="25"/>
  <c r="I26" i="25"/>
  <c r="H26" i="25"/>
  <c r="G26" i="25"/>
  <c r="F26" i="25"/>
  <c r="E26" i="25"/>
  <c r="D26" i="25"/>
  <c r="M25" i="25"/>
  <c r="L25" i="25"/>
  <c r="K25" i="25"/>
  <c r="J25" i="25"/>
  <c r="I25" i="25"/>
  <c r="H25" i="25"/>
  <c r="G25" i="25"/>
  <c r="F25" i="25"/>
  <c r="E25" i="25"/>
  <c r="D25" i="25"/>
  <c r="M24" i="25"/>
  <c r="L24" i="25"/>
  <c r="K24" i="25"/>
  <c r="J24" i="25"/>
  <c r="P24" i="25" s="1"/>
  <c r="I24" i="25"/>
  <c r="H24" i="25"/>
  <c r="G24" i="25"/>
  <c r="F24" i="25"/>
  <c r="E24" i="25"/>
  <c r="D24" i="25"/>
  <c r="O24" i="25" s="1"/>
  <c r="M23" i="25"/>
  <c r="L23" i="25"/>
  <c r="K23" i="25"/>
  <c r="J23" i="25"/>
  <c r="P23" i="25" s="1"/>
  <c r="I23" i="25"/>
  <c r="H23" i="25"/>
  <c r="G23" i="25"/>
  <c r="F23" i="25"/>
  <c r="E23" i="25"/>
  <c r="D23" i="25"/>
  <c r="M22" i="25"/>
  <c r="L22" i="25"/>
  <c r="K22" i="25"/>
  <c r="J22" i="25"/>
  <c r="P22" i="25" s="1"/>
  <c r="I22" i="25"/>
  <c r="H22" i="25"/>
  <c r="G22" i="25"/>
  <c r="F22" i="25"/>
  <c r="E22" i="25"/>
  <c r="D22" i="25"/>
  <c r="O22" i="25" s="1"/>
  <c r="M20" i="25"/>
  <c r="L20" i="25"/>
  <c r="K20" i="25"/>
  <c r="J20" i="25"/>
  <c r="P20" i="25" s="1"/>
  <c r="I20" i="25"/>
  <c r="H20" i="25"/>
  <c r="G20" i="25"/>
  <c r="F20" i="25"/>
  <c r="E20" i="25"/>
  <c r="D20" i="25"/>
  <c r="O20" i="25" s="1"/>
  <c r="M16" i="25"/>
  <c r="L16" i="25"/>
  <c r="K16" i="25"/>
  <c r="J16" i="25"/>
  <c r="P16" i="25" s="1"/>
  <c r="I16" i="25"/>
  <c r="H16" i="25"/>
  <c r="G16" i="25"/>
  <c r="F16" i="25"/>
  <c r="E16" i="25"/>
  <c r="D16" i="25"/>
  <c r="O16" i="25" s="1"/>
  <c r="M8" i="25"/>
  <c r="L8" i="25"/>
  <c r="K8" i="25"/>
  <c r="J8" i="25"/>
  <c r="P8" i="25" s="1"/>
  <c r="I8" i="25"/>
  <c r="H8" i="25"/>
  <c r="G8" i="25"/>
  <c r="F8" i="25"/>
  <c r="E8" i="25"/>
  <c r="D8" i="25"/>
  <c r="O8" i="25" s="1"/>
  <c r="M141" i="25"/>
  <c r="N138" i="25"/>
  <c r="M138" i="25"/>
  <c r="L138" i="25"/>
  <c r="B114" i="25"/>
  <c r="S89" i="25" s="1"/>
  <c r="F114" i="25" s="1"/>
  <c r="B152" i="25" s="1"/>
  <c r="F76" i="25"/>
  <c r="P41" i="25"/>
  <c r="O41" i="25"/>
  <c r="P40" i="25"/>
  <c r="O40" i="25"/>
  <c r="P39" i="25"/>
  <c r="O39" i="25"/>
  <c r="P38" i="25"/>
  <c r="O38" i="25"/>
  <c r="K48" i="25"/>
  <c r="B62" i="25"/>
  <c r="A49" i="25"/>
  <c r="P21" i="25"/>
  <c r="A48" i="25"/>
  <c r="P19" i="25"/>
  <c r="O19" i="25"/>
  <c r="O18" i="25"/>
  <c r="P17" i="25"/>
  <c r="O17" i="25"/>
  <c r="P15" i="25"/>
  <c r="O15" i="25"/>
  <c r="O14" i="25"/>
  <c r="P13" i="25"/>
  <c r="O13" i="25"/>
  <c r="O12" i="25"/>
  <c r="P12" i="25"/>
  <c r="P11" i="25"/>
  <c r="O11" i="25"/>
  <c r="P9" i="25"/>
  <c r="O9" i="25"/>
  <c r="P7" i="25"/>
  <c r="O7" i="25"/>
  <c r="O6" i="25"/>
  <c r="P5" i="25"/>
  <c r="O5" i="25"/>
  <c r="O4" i="25"/>
  <c r="P4" i="25"/>
  <c r="P3" i="25"/>
  <c r="O2" i="25"/>
  <c r="P2" i="25"/>
  <c r="P42" i="25"/>
  <c r="P89" i="25" s="1"/>
  <c r="P152" i="25" s="1"/>
  <c r="K62" i="25"/>
  <c r="F142" i="23"/>
  <c r="E142" i="23"/>
  <c r="N141" i="23" s="1"/>
  <c r="D142" i="23"/>
  <c r="M141" i="23" s="1"/>
  <c r="C142" i="23"/>
  <c r="L141" i="23" s="1"/>
  <c r="F141" i="23"/>
  <c r="E141" i="23"/>
  <c r="N140" i="23" s="1"/>
  <c r="D141" i="23"/>
  <c r="M140" i="23" s="1"/>
  <c r="C141" i="23"/>
  <c r="L140" i="23" s="1"/>
  <c r="F140" i="23"/>
  <c r="E140" i="23"/>
  <c r="N139" i="23" s="1"/>
  <c r="D140" i="23"/>
  <c r="M139" i="23" s="1"/>
  <c r="C140" i="23"/>
  <c r="L139" i="23" s="1"/>
  <c r="F139" i="23"/>
  <c r="E139" i="23"/>
  <c r="D139" i="23"/>
  <c r="C139" i="23"/>
  <c r="F138" i="23"/>
  <c r="E138" i="23"/>
  <c r="D138" i="23"/>
  <c r="C138" i="23"/>
  <c r="F135" i="23"/>
  <c r="E135" i="23"/>
  <c r="D135" i="23"/>
  <c r="C135" i="23"/>
  <c r="F134" i="23"/>
  <c r="E134" i="23"/>
  <c r="D134" i="23"/>
  <c r="C134" i="23"/>
  <c r="F133" i="23"/>
  <c r="E133" i="23"/>
  <c r="D133" i="23"/>
  <c r="C133" i="23"/>
  <c r="F132" i="23"/>
  <c r="E132" i="23"/>
  <c r="D132" i="23"/>
  <c r="C132" i="23"/>
  <c r="F130" i="23"/>
  <c r="E130" i="23"/>
  <c r="D130" i="23"/>
  <c r="C130" i="23"/>
  <c r="F126" i="23"/>
  <c r="E126" i="23"/>
  <c r="D126" i="23"/>
  <c r="C126" i="23"/>
  <c r="M41" i="23"/>
  <c r="L41" i="23"/>
  <c r="K41" i="23"/>
  <c r="J41" i="23"/>
  <c r="I41" i="23"/>
  <c r="H41" i="23"/>
  <c r="G41" i="23"/>
  <c r="F41" i="23"/>
  <c r="E41" i="23"/>
  <c r="D41" i="23"/>
  <c r="M40" i="23"/>
  <c r="L40" i="23"/>
  <c r="K40" i="23"/>
  <c r="J40" i="23"/>
  <c r="I40" i="23"/>
  <c r="H40" i="23"/>
  <c r="G40" i="23"/>
  <c r="F40" i="23"/>
  <c r="E40" i="23"/>
  <c r="D40" i="23"/>
  <c r="M39" i="23"/>
  <c r="L39" i="23"/>
  <c r="K39" i="23"/>
  <c r="J39" i="23"/>
  <c r="I39" i="23"/>
  <c r="H39" i="23"/>
  <c r="G39" i="23"/>
  <c r="F39" i="23"/>
  <c r="E39" i="23"/>
  <c r="D39" i="23"/>
  <c r="M38" i="23"/>
  <c r="L38" i="23"/>
  <c r="K38" i="23"/>
  <c r="J38" i="23"/>
  <c r="I38" i="23"/>
  <c r="H38" i="23"/>
  <c r="G38" i="23"/>
  <c r="F38" i="23"/>
  <c r="E38" i="23"/>
  <c r="D38" i="23"/>
  <c r="M37" i="23"/>
  <c r="L37" i="23"/>
  <c r="K37" i="23"/>
  <c r="J37" i="23"/>
  <c r="P37" i="23" s="1"/>
  <c r="I37" i="23"/>
  <c r="H37" i="23"/>
  <c r="G37" i="23"/>
  <c r="F37" i="23"/>
  <c r="E37" i="23"/>
  <c r="D37" i="23"/>
  <c r="O37" i="23" s="1"/>
  <c r="M36" i="23"/>
  <c r="L36" i="23"/>
  <c r="K36" i="23"/>
  <c r="J36" i="23"/>
  <c r="P36" i="23" s="1"/>
  <c r="I36" i="23"/>
  <c r="H36" i="23"/>
  <c r="G36" i="23"/>
  <c r="F36" i="23"/>
  <c r="E36" i="23"/>
  <c r="D36" i="23"/>
  <c r="M35" i="23"/>
  <c r="L35" i="23"/>
  <c r="K35" i="23"/>
  <c r="J35" i="23"/>
  <c r="P35" i="23" s="1"/>
  <c r="I35" i="23"/>
  <c r="H35" i="23"/>
  <c r="G35" i="23"/>
  <c r="F35" i="23"/>
  <c r="E35" i="23"/>
  <c r="D35" i="23"/>
  <c r="O35" i="23" s="1"/>
  <c r="M34" i="23"/>
  <c r="L34" i="23"/>
  <c r="K34" i="23"/>
  <c r="J34" i="23"/>
  <c r="P34" i="23" s="1"/>
  <c r="I34" i="23"/>
  <c r="H34" i="23"/>
  <c r="G34" i="23"/>
  <c r="F34" i="23"/>
  <c r="E34" i="23"/>
  <c r="D34" i="23"/>
  <c r="M33" i="23"/>
  <c r="L33" i="23"/>
  <c r="K33" i="23"/>
  <c r="J33" i="23"/>
  <c r="P33" i="23" s="1"/>
  <c r="I33" i="23"/>
  <c r="H33" i="23"/>
  <c r="G33" i="23"/>
  <c r="F33" i="23"/>
  <c r="E33" i="23"/>
  <c r="D33" i="23"/>
  <c r="O33" i="23" s="1"/>
  <c r="M32" i="23"/>
  <c r="L32" i="23"/>
  <c r="K32" i="23"/>
  <c r="J32" i="23"/>
  <c r="P32" i="23" s="1"/>
  <c r="I32" i="23"/>
  <c r="H32" i="23"/>
  <c r="G32" i="23"/>
  <c r="F32" i="23"/>
  <c r="E32" i="23"/>
  <c r="D32" i="23"/>
  <c r="M31" i="23"/>
  <c r="L31" i="23"/>
  <c r="K31" i="23"/>
  <c r="J31" i="23"/>
  <c r="P31" i="23" s="1"/>
  <c r="I31" i="23"/>
  <c r="H31" i="23"/>
  <c r="G31" i="23"/>
  <c r="F31" i="23"/>
  <c r="E31" i="23"/>
  <c r="D31" i="23"/>
  <c r="O31" i="23" s="1"/>
  <c r="M30" i="23"/>
  <c r="L30" i="23"/>
  <c r="K30" i="23"/>
  <c r="J30" i="23"/>
  <c r="P30" i="23" s="1"/>
  <c r="I30" i="23"/>
  <c r="H30" i="23"/>
  <c r="G30" i="23"/>
  <c r="F30" i="23"/>
  <c r="E30" i="23"/>
  <c r="D30" i="23"/>
  <c r="M29" i="23"/>
  <c r="L29" i="23"/>
  <c r="K29" i="23"/>
  <c r="J29" i="23"/>
  <c r="P29" i="23" s="1"/>
  <c r="I29" i="23"/>
  <c r="H29" i="23"/>
  <c r="G29" i="23"/>
  <c r="F29" i="23"/>
  <c r="E29" i="23"/>
  <c r="D29" i="23"/>
  <c r="O29" i="23" s="1"/>
  <c r="M28" i="23"/>
  <c r="L28" i="23"/>
  <c r="K28" i="23"/>
  <c r="J28" i="23"/>
  <c r="P28" i="23" s="1"/>
  <c r="I28" i="23"/>
  <c r="H28" i="23"/>
  <c r="G28" i="23"/>
  <c r="F28" i="23"/>
  <c r="E28" i="23"/>
  <c r="D28" i="23"/>
  <c r="M27" i="23"/>
  <c r="L27" i="23"/>
  <c r="K27" i="23"/>
  <c r="J27" i="23"/>
  <c r="P27" i="23" s="1"/>
  <c r="I27" i="23"/>
  <c r="H27" i="23"/>
  <c r="G27" i="23"/>
  <c r="F27" i="23"/>
  <c r="E27" i="23"/>
  <c r="D27" i="23"/>
  <c r="O27" i="23" s="1"/>
  <c r="M26" i="23"/>
  <c r="L26" i="23"/>
  <c r="K26" i="23"/>
  <c r="J26" i="23"/>
  <c r="I26" i="23"/>
  <c r="H26" i="23"/>
  <c r="G26" i="23"/>
  <c r="F26" i="23"/>
  <c r="E26" i="23"/>
  <c r="D26" i="23"/>
  <c r="M25" i="23"/>
  <c r="L25" i="23"/>
  <c r="K25" i="23"/>
  <c r="J25" i="23"/>
  <c r="I25" i="23"/>
  <c r="H25" i="23"/>
  <c r="G25" i="23"/>
  <c r="F25" i="23"/>
  <c r="E25" i="23"/>
  <c r="D25" i="23"/>
  <c r="M24" i="23"/>
  <c r="L24" i="23"/>
  <c r="K24" i="23"/>
  <c r="J24" i="23"/>
  <c r="P24" i="23" s="1"/>
  <c r="I24" i="23"/>
  <c r="H24" i="23"/>
  <c r="G24" i="23"/>
  <c r="F24" i="23"/>
  <c r="E24" i="23"/>
  <c r="D24" i="23"/>
  <c r="M23" i="23"/>
  <c r="L23" i="23"/>
  <c r="K23" i="23"/>
  <c r="J23" i="23"/>
  <c r="P23" i="23" s="1"/>
  <c r="I23" i="23"/>
  <c r="H23" i="23"/>
  <c r="G23" i="23"/>
  <c r="F23" i="23"/>
  <c r="E23" i="23"/>
  <c r="D23" i="23"/>
  <c r="O23" i="23" s="1"/>
  <c r="M22" i="23"/>
  <c r="L22" i="23"/>
  <c r="K22" i="23"/>
  <c r="J22" i="23"/>
  <c r="P22" i="23" s="1"/>
  <c r="I22" i="23"/>
  <c r="H22" i="23"/>
  <c r="G22" i="23"/>
  <c r="F22" i="23"/>
  <c r="E22" i="23"/>
  <c r="D22" i="23"/>
  <c r="M20" i="23"/>
  <c r="L20" i="23"/>
  <c r="K20" i="23"/>
  <c r="J20" i="23"/>
  <c r="P20" i="23" s="1"/>
  <c r="I20" i="23"/>
  <c r="H20" i="23"/>
  <c r="G20" i="23"/>
  <c r="F20" i="23"/>
  <c r="E20" i="23"/>
  <c r="D20" i="23"/>
  <c r="M16" i="23"/>
  <c r="L16" i="23"/>
  <c r="K16" i="23"/>
  <c r="J16" i="23"/>
  <c r="P16" i="23" s="1"/>
  <c r="I16" i="23"/>
  <c r="H16" i="23"/>
  <c r="G16" i="23"/>
  <c r="F16" i="23"/>
  <c r="E16" i="23"/>
  <c r="D16" i="23"/>
  <c r="O16" i="23" s="1"/>
  <c r="M8" i="23"/>
  <c r="L8" i="23"/>
  <c r="K8" i="23"/>
  <c r="J8" i="23"/>
  <c r="P8" i="23" s="1"/>
  <c r="I8" i="23"/>
  <c r="H8" i="23"/>
  <c r="G8" i="23"/>
  <c r="F8" i="23"/>
  <c r="E8" i="23"/>
  <c r="D8" i="23"/>
  <c r="O8" i="23" s="1"/>
  <c r="N138" i="23"/>
  <c r="M138" i="23"/>
  <c r="L138" i="23"/>
  <c r="B114" i="23"/>
  <c r="B89" i="23" s="1"/>
  <c r="B42" i="23" s="1"/>
  <c r="A76" i="23"/>
  <c r="P41" i="23"/>
  <c r="O41" i="23"/>
  <c r="P40" i="23"/>
  <c r="O40" i="23"/>
  <c r="P39" i="23"/>
  <c r="O39" i="23"/>
  <c r="P38" i="23"/>
  <c r="O38" i="23"/>
  <c r="K48" i="23"/>
  <c r="A49" i="23"/>
  <c r="P21" i="23"/>
  <c r="O21" i="23"/>
  <c r="P19" i="23"/>
  <c r="O19" i="23"/>
  <c r="O18" i="23"/>
  <c r="P17" i="23"/>
  <c r="O17" i="23"/>
  <c r="P15" i="23"/>
  <c r="O15" i="23"/>
  <c r="O14" i="23"/>
  <c r="P13" i="23"/>
  <c r="O13" i="23"/>
  <c r="O12" i="23"/>
  <c r="P12" i="23"/>
  <c r="P11" i="23"/>
  <c r="O11" i="23"/>
  <c r="P9" i="23"/>
  <c r="O9" i="23"/>
  <c r="P7" i="23"/>
  <c r="O7" i="23"/>
  <c r="O6" i="23"/>
  <c r="P5" i="23"/>
  <c r="O5" i="23"/>
  <c r="O4" i="23"/>
  <c r="P4" i="23"/>
  <c r="P3" i="23"/>
  <c r="O3" i="23"/>
  <c r="O2" i="23"/>
  <c r="P2" i="23"/>
  <c r="P42" i="23"/>
  <c r="P89" i="23" s="1"/>
  <c r="P152" i="23" s="1"/>
  <c r="F76" i="23"/>
  <c r="F142" i="22"/>
  <c r="E142" i="22"/>
  <c r="N141" i="22" s="1"/>
  <c r="D142" i="22"/>
  <c r="C142" i="22"/>
  <c r="L141" i="22" s="1"/>
  <c r="F141" i="22"/>
  <c r="E141" i="22"/>
  <c r="N140" i="22" s="1"/>
  <c r="D141" i="22"/>
  <c r="M140" i="22" s="1"/>
  <c r="C141" i="22"/>
  <c r="L140" i="22" s="1"/>
  <c r="F140" i="22"/>
  <c r="E140" i="22"/>
  <c r="N139" i="22" s="1"/>
  <c r="D140" i="22"/>
  <c r="M139" i="22" s="1"/>
  <c r="C140" i="22"/>
  <c r="F139" i="22"/>
  <c r="E139" i="22"/>
  <c r="D139" i="22"/>
  <c r="C139" i="22"/>
  <c r="F138" i="22"/>
  <c r="E138" i="22"/>
  <c r="D138" i="22"/>
  <c r="C138" i="22"/>
  <c r="F135" i="22"/>
  <c r="E135" i="22"/>
  <c r="D135" i="22"/>
  <c r="C135" i="22"/>
  <c r="F134" i="22"/>
  <c r="E134" i="22"/>
  <c r="D134" i="22"/>
  <c r="C134" i="22"/>
  <c r="F133" i="22"/>
  <c r="E133" i="22"/>
  <c r="D133" i="22"/>
  <c r="C133" i="22"/>
  <c r="F132" i="22"/>
  <c r="E132" i="22"/>
  <c r="D132" i="22"/>
  <c r="C132" i="22"/>
  <c r="F130" i="22"/>
  <c r="E130" i="22"/>
  <c r="D130" i="22"/>
  <c r="C130" i="22"/>
  <c r="F126" i="22"/>
  <c r="E126" i="22"/>
  <c r="D126" i="22"/>
  <c r="C126" i="22"/>
  <c r="M41" i="22"/>
  <c r="L41" i="22"/>
  <c r="K41" i="22"/>
  <c r="J41" i="22"/>
  <c r="I41" i="22"/>
  <c r="H41" i="22"/>
  <c r="G41" i="22"/>
  <c r="F41" i="22"/>
  <c r="E41" i="22"/>
  <c r="D41" i="22"/>
  <c r="M40" i="22"/>
  <c r="L40" i="22"/>
  <c r="K40" i="22"/>
  <c r="J40" i="22"/>
  <c r="I40" i="22"/>
  <c r="H40" i="22"/>
  <c r="G40" i="22"/>
  <c r="F40" i="22"/>
  <c r="E40" i="22"/>
  <c r="D40" i="22"/>
  <c r="M39" i="22"/>
  <c r="L39" i="22"/>
  <c r="K39" i="22"/>
  <c r="J39" i="22"/>
  <c r="I39" i="22"/>
  <c r="H39" i="22"/>
  <c r="G39" i="22"/>
  <c r="F39" i="22"/>
  <c r="E39" i="22"/>
  <c r="D39" i="22"/>
  <c r="M38" i="22"/>
  <c r="L38" i="22"/>
  <c r="K38" i="22"/>
  <c r="J38" i="22"/>
  <c r="I38" i="22"/>
  <c r="H38" i="22"/>
  <c r="G38" i="22"/>
  <c r="F38" i="22"/>
  <c r="E38" i="22"/>
  <c r="D38" i="22"/>
  <c r="M37" i="22"/>
  <c r="L37" i="22"/>
  <c r="K37" i="22"/>
  <c r="J37" i="22"/>
  <c r="P37" i="22" s="1"/>
  <c r="I37" i="22"/>
  <c r="H37" i="22"/>
  <c r="G37" i="22"/>
  <c r="F37" i="22"/>
  <c r="E37" i="22"/>
  <c r="D37" i="22"/>
  <c r="O37" i="22" s="1"/>
  <c r="M36" i="22"/>
  <c r="L36" i="22"/>
  <c r="K36" i="22"/>
  <c r="J36" i="22"/>
  <c r="I36" i="22"/>
  <c r="H36" i="22"/>
  <c r="G36" i="22"/>
  <c r="F36" i="22"/>
  <c r="E36" i="22"/>
  <c r="D36" i="22"/>
  <c r="M35" i="22"/>
  <c r="L35" i="22"/>
  <c r="K35" i="22"/>
  <c r="J35" i="22"/>
  <c r="P35" i="22" s="1"/>
  <c r="I35" i="22"/>
  <c r="H35" i="22"/>
  <c r="G35" i="22"/>
  <c r="F35" i="22"/>
  <c r="E35" i="22"/>
  <c r="D35" i="22"/>
  <c r="O35" i="22" s="1"/>
  <c r="M34" i="22"/>
  <c r="L34" i="22"/>
  <c r="K34" i="22"/>
  <c r="J34" i="22"/>
  <c r="P34" i="22" s="1"/>
  <c r="I34" i="22"/>
  <c r="H34" i="22"/>
  <c r="G34" i="22"/>
  <c r="F34" i="22"/>
  <c r="E34" i="22"/>
  <c r="D34" i="22"/>
  <c r="M33" i="22"/>
  <c r="L33" i="22"/>
  <c r="K33" i="22"/>
  <c r="J33" i="22"/>
  <c r="P33" i="22" s="1"/>
  <c r="I33" i="22"/>
  <c r="H33" i="22"/>
  <c r="G33" i="22"/>
  <c r="F33" i="22"/>
  <c r="E33" i="22"/>
  <c r="D33" i="22"/>
  <c r="O33" i="22" s="1"/>
  <c r="M32" i="22"/>
  <c r="L32" i="22"/>
  <c r="K32" i="22"/>
  <c r="J32" i="22"/>
  <c r="P32" i="22" s="1"/>
  <c r="I32" i="22"/>
  <c r="H32" i="22"/>
  <c r="G32" i="22"/>
  <c r="F32" i="22"/>
  <c r="E32" i="22"/>
  <c r="D32" i="22"/>
  <c r="M31" i="22"/>
  <c r="L31" i="22"/>
  <c r="K31" i="22"/>
  <c r="J31" i="22"/>
  <c r="P31" i="22" s="1"/>
  <c r="I31" i="22"/>
  <c r="H31" i="22"/>
  <c r="G31" i="22"/>
  <c r="F31" i="22"/>
  <c r="E31" i="22"/>
  <c r="D31" i="22"/>
  <c r="O31" i="22" s="1"/>
  <c r="M30" i="22"/>
  <c r="L30" i="22"/>
  <c r="K30" i="22"/>
  <c r="J30" i="22"/>
  <c r="P30" i="22" s="1"/>
  <c r="I30" i="22"/>
  <c r="H30" i="22"/>
  <c r="G30" i="22"/>
  <c r="F30" i="22"/>
  <c r="E30" i="22"/>
  <c r="D30" i="22"/>
  <c r="M29" i="22"/>
  <c r="L29" i="22"/>
  <c r="K29" i="22"/>
  <c r="J29" i="22"/>
  <c r="P29" i="22" s="1"/>
  <c r="I29" i="22"/>
  <c r="H29" i="22"/>
  <c r="G29" i="22"/>
  <c r="F29" i="22"/>
  <c r="E29" i="22"/>
  <c r="D29" i="22"/>
  <c r="O29" i="22" s="1"/>
  <c r="M28" i="22"/>
  <c r="L28" i="22"/>
  <c r="K28" i="22"/>
  <c r="J28" i="22"/>
  <c r="P28" i="22" s="1"/>
  <c r="I28" i="22"/>
  <c r="H28" i="22"/>
  <c r="G28" i="22"/>
  <c r="F28" i="22"/>
  <c r="E28" i="22"/>
  <c r="D28" i="22"/>
  <c r="M27" i="22"/>
  <c r="L27" i="22"/>
  <c r="K27" i="22"/>
  <c r="J27" i="22"/>
  <c r="P27" i="22" s="1"/>
  <c r="I27" i="22"/>
  <c r="H27" i="22"/>
  <c r="G27" i="22"/>
  <c r="F27" i="22"/>
  <c r="E27" i="22"/>
  <c r="D27" i="22"/>
  <c r="O27" i="22" s="1"/>
  <c r="M26" i="22"/>
  <c r="L26" i="22"/>
  <c r="K26" i="22"/>
  <c r="J26" i="22"/>
  <c r="P26" i="22" s="1"/>
  <c r="I26" i="22"/>
  <c r="H26" i="22"/>
  <c r="G26" i="22"/>
  <c r="F26" i="22"/>
  <c r="E26" i="22"/>
  <c r="D26" i="22"/>
  <c r="M25" i="22"/>
  <c r="L25" i="22"/>
  <c r="K25" i="22"/>
  <c r="J25" i="22"/>
  <c r="P25" i="22" s="1"/>
  <c r="I25" i="22"/>
  <c r="H25" i="22"/>
  <c r="G25" i="22"/>
  <c r="F25" i="22"/>
  <c r="E25" i="22"/>
  <c r="D25" i="22"/>
  <c r="O25" i="22" s="1"/>
  <c r="M24" i="22"/>
  <c r="L24" i="22"/>
  <c r="K24" i="22"/>
  <c r="J24" i="22"/>
  <c r="P24" i="22" s="1"/>
  <c r="I24" i="22"/>
  <c r="H24" i="22"/>
  <c r="G24" i="22"/>
  <c r="F24" i="22"/>
  <c r="E24" i="22"/>
  <c r="D24" i="22"/>
  <c r="M23" i="22"/>
  <c r="L23" i="22"/>
  <c r="K23" i="22"/>
  <c r="J23" i="22"/>
  <c r="P23" i="22" s="1"/>
  <c r="I23" i="22"/>
  <c r="H23" i="22"/>
  <c r="G23" i="22"/>
  <c r="F23" i="22"/>
  <c r="E23" i="22"/>
  <c r="D23" i="22"/>
  <c r="O23" i="22" s="1"/>
  <c r="M22" i="22"/>
  <c r="L22" i="22"/>
  <c r="K22" i="22"/>
  <c r="J22" i="22"/>
  <c r="P22" i="22" s="1"/>
  <c r="I22" i="22"/>
  <c r="H22" i="22"/>
  <c r="G22" i="22"/>
  <c r="F22" i="22"/>
  <c r="E22" i="22"/>
  <c r="D22" i="22"/>
  <c r="M20" i="22"/>
  <c r="L20" i="22"/>
  <c r="K20" i="22"/>
  <c r="J20" i="22"/>
  <c r="P20" i="22" s="1"/>
  <c r="I20" i="22"/>
  <c r="H20" i="22"/>
  <c r="G20" i="22"/>
  <c r="F20" i="22"/>
  <c r="E20" i="22"/>
  <c r="D20" i="22"/>
  <c r="M16" i="22"/>
  <c r="L16" i="22"/>
  <c r="K16" i="22"/>
  <c r="J16" i="22"/>
  <c r="P16" i="22" s="1"/>
  <c r="I16" i="22"/>
  <c r="H16" i="22"/>
  <c r="G16" i="22"/>
  <c r="F16" i="22"/>
  <c r="E16" i="22"/>
  <c r="D16" i="22"/>
  <c r="O16" i="22" s="1"/>
  <c r="M8" i="22"/>
  <c r="L8" i="22"/>
  <c r="K8" i="22"/>
  <c r="J8" i="22"/>
  <c r="P8" i="22" s="1"/>
  <c r="I8" i="22"/>
  <c r="H8" i="22"/>
  <c r="G8" i="22"/>
  <c r="F8" i="22"/>
  <c r="E8" i="22"/>
  <c r="D8" i="22"/>
  <c r="O8" i="22" s="1"/>
  <c r="M141" i="22"/>
  <c r="L139" i="22"/>
  <c r="N138" i="22"/>
  <c r="M138" i="22"/>
  <c r="L138" i="22"/>
  <c r="B114" i="22"/>
  <c r="S89" i="22" s="1"/>
  <c r="F114" i="22" s="1"/>
  <c r="B152" i="22" s="1"/>
  <c r="A76" i="22"/>
  <c r="P41" i="22"/>
  <c r="O41" i="22"/>
  <c r="P40" i="22"/>
  <c r="O40" i="22"/>
  <c r="P39" i="22"/>
  <c r="O39" i="22"/>
  <c r="P38" i="22"/>
  <c r="O38" i="22"/>
  <c r="K48" i="22"/>
  <c r="B62" i="22"/>
  <c r="A49" i="22"/>
  <c r="P21" i="22"/>
  <c r="O21" i="22"/>
  <c r="A48" i="22"/>
  <c r="P19" i="22"/>
  <c r="O19" i="22"/>
  <c r="O18" i="22"/>
  <c r="P18" i="22"/>
  <c r="P17" i="22"/>
  <c r="O17" i="22"/>
  <c r="P15" i="22"/>
  <c r="O15" i="22"/>
  <c r="O14" i="22"/>
  <c r="P14" i="22"/>
  <c r="P13" i="22"/>
  <c r="O13" i="22"/>
  <c r="O12" i="22"/>
  <c r="P12" i="22"/>
  <c r="P11" i="22"/>
  <c r="O11" i="22"/>
  <c r="O10" i="22"/>
  <c r="P10" i="22"/>
  <c r="P9" i="22"/>
  <c r="O9" i="22"/>
  <c r="P7" i="22"/>
  <c r="O7" i="22"/>
  <c r="O6" i="22"/>
  <c r="P6" i="22"/>
  <c r="P5" i="22"/>
  <c r="O5" i="22"/>
  <c r="O4" i="22"/>
  <c r="P4" i="22"/>
  <c r="P3" i="22"/>
  <c r="O3" i="22"/>
  <c r="O2" i="22"/>
  <c r="P2" i="22"/>
  <c r="P42" i="22"/>
  <c r="P89" i="22" s="1"/>
  <c r="P152" i="22" s="1"/>
  <c r="F76" i="22"/>
  <c r="F142" i="21"/>
  <c r="D142" i="21"/>
  <c r="M141" i="21" s="1"/>
  <c r="F141" i="21"/>
  <c r="D141" i="21"/>
  <c r="M140" i="21" s="1"/>
  <c r="F140" i="21"/>
  <c r="D140" i="21"/>
  <c r="M139" i="21" s="1"/>
  <c r="F139" i="21"/>
  <c r="D139" i="21"/>
  <c r="F138" i="21"/>
  <c r="D138" i="21"/>
  <c r="F135" i="21"/>
  <c r="D135" i="21"/>
  <c r="F134" i="21"/>
  <c r="D134" i="21"/>
  <c r="F133" i="21"/>
  <c r="D133" i="21"/>
  <c r="F132" i="21"/>
  <c r="D132" i="21"/>
  <c r="F130" i="21"/>
  <c r="D130" i="21"/>
  <c r="F126" i="21"/>
  <c r="D126" i="21"/>
  <c r="M41" i="21"/>
  <c r="L41" i="21"/>
  <c r="K41" i="21"/>
  <c r="J41" i="21"/>
  <c r="I41" i="21"/>
  <c r="H41" i="21"/>
  <c r="G41" i="21"/>
  <c r="F41" i="21"/>
  <c r="E41" i="21"/>
  <c r="D41" i="21"/>
  <c r="M40" i="21"/>
  <c r="L40" i="21"/>
  <c r="K40" i="21"/>
  <c r="J40" i="21"/>
  <c r="I40" i="21"/>
  <c r="H40" i="21"/>
  <c r="G40" i="21"/>
  <c r="F40" i="21"/>
  <c r="E40" i="21"/>
  <c r="M39" i="21"/>
  <c r="L39" i="21"/>
  <c r="K39" i="21"/>
  <c r="J39" i="21"/>
  <c r="I39" i="21"/>
  <c r="H39" i="21"/>
  <c r="G39" i="21"/>
  <c r="F39" i="21"/>
  <c r="E39" i="21"/>
  <c r="D39" i="21"/>
  <c r="M38" i="21"/>
  <c r="L38" i="21"/>
  <c r="K38" i="21"/>
  <c r="J38" i="21"/>
  <c r="I38" i="21"/>
  <c r="H38" i="21"/>
  <c r="G38" i="21"/>
  <c r="F38" i="21"/>
  <c r="E38" i="21"/>
  <c r="D38" i="21"/>
  <c r="M37" i="21"/>
  <c r="L37" i="21"/>
  <c r="K37" i="21"/>
  <c r="J37" i="21"/>
  <c r="P37" i="21" s="1"/>
  <c r="I37" i="21"/>
  <c r="H37" i="21"/>
  <c r="G37" i="21"/>
  <c r="F37" i="21"/>
  <c r="E37" i="21"/>
  <c r="D37" i="21"/>
  <c r="O37" i="21" s="1"/>
  <c r="M36" i="21"/>
  <c r="L36" i="21"/>
  <c r="K36" i="21"/>
  <c r="J36" i="21"/>
  <c r="I36" i="21"/>
  <c r="H36" i="21"/>
  <c r="G36" i="21"/>
  <c r="F36" i="21"/>
  <c r="E36" i="21"/>
  <c r="D36" i="21"/>
  <c r="M35" i="21"/>
  <c r="L35" i="21"/>
  <c r="K35" i="21"/>
  <c r="J35" i="21"/>
  <c r="P35" i="21" s="1"/>
  <c r="I35" i="21"/>
  <c r="H35" i="21"/>
  <c r="G35" i="21"/>
  <c r="F35" i="21"/>
  <c r="E35" i="21"/>
  <c r="D35" i="21"/>
  <c r="O35" i="21" s="1"/>
  <c r="M34" i="21"/>
  <c r="L34" i="21"/>
  <c r="K34" i="21"/>
  <c r="J34" i="21"/>
  <c r="P34" i="21" s="1"/>
  <c r="I34" i="21"/>
  <c r="H34" i="21"/>
  <c r="G34" i="21"/>
  <c r="F34" i="21"/>
  <c r="E34" i="21"/>
  <c r="D34" i="21"/>
  <c r="M33" i="21"/>
  <c r="L33" i="21"/>
  <c r="K33" i="21"/>
  <c r="J33" i="21"/>
  <c r="P33" i="21" s="1"/>
  <c r="I33" i="21"/>
  <c r="H33" i="21"/>
  <c r="G33" i="21"/>
  <c r="F33" i="21"/>
  <c r="E33" i="21"/>
  <c r="D33" i="21"/>
  <c r="O33" i="21" s="1"/>
  <c r="M32" i="21"/>
  <c r="L32" i="21"/>
  <c r="K32" i="21"/>
  <c r="J32" i="21"/>
  <c r="P32" i="21" s="1"/>
  <c r="I32" i="21"/>
  <c r="H32" i="21"/>
  <c r="G32" i="21"/>
  <c r="F32" i="21"/>
  <c r="E32" i="21"/>
  <c r="D32" i="21"/>
  <c r="M31" i="21"/>
  <c r="L31" i="21"/>
  <c r="K31" i="21"/>
  <c r="J31" i="21"/>
  <c r="P31" i="21" s="1"/>
  <c r="I31" i="21"/>
  <c r="H31" i="21"/>
  <c r="G31" i="21"/>
  <c r="F31" i="21"/>
  <c r="E31" i="21"/>
  <c r="D31" i="21"/>
  <c r="O31" i="21" s="1"/>
  <c r="M30" i="21"/>
  <c r="L30" i="21"/>
  <c r="K30" i="21"/>
  <c r="J30" i="21"/>
  <c r="P30" i="21" s="1"/>
  <c r="I30" i="21"/>
  <c r="H30" i="21"/>
  <c r="G30" i="21"/>
  <c r="F30" i="21"/>
  <c r="E30" i="21"/>
  <c r="D30" i="21"/>
  <c r="M29" i="21"/>
  <c r="L29" i="21"/>
  <c r="K29" i="21"/>
  <c r="J29" i="21"/>
  <c r="P29" i="21" s="1"/>
  <c r="I29" i="21"/>
  <c r="H29" i="21"/>
  <c r="G29" i="21"/>
  <c r="F29" i="21"/>
  <c r="E29" i="21"/>
  <c r="D29" i="21"/>
  <c r="O29" i="21" s="1"/>
  <c r="M28" i="21"/>
  <c r="L28" i="21"/>
  <c r="K28" i="21"/>
  <c r="J28" i="21"/>
  <c r="P28" i="21" s="1"/>
  <c r="I28" i="21"/>
  <c r="H28" i="21"/>
  <c r="G28" i="21"/>
  <c r="F28" i="21"/>
  <c r="E28" i="21"/>
  <c r="D28" i="21"/>
  <c r="M27" i="21"/>
  <c r="L27" i="21"/>
  <c r="K27" i="21"/>
  <c r="J27" i="21"/>
  <c r="P27" i="21" s="1"/>
  <c r="I27" i="21"/>
  <c r="H27" i="21"/>
  <c r="G27" i="21"/>
  <c r="F27" i="21"/>
  <c r="E27" i="21"/>
  <c r="D27" i="21"/>
  <c r="O27" i="21" s="1"/>
  <c r="M26" i="21"/>
  <c r="L26" i="21"/>
  <c r="K26" i="21"/>
  <c r="J26" i="21"/>
  <c r="P26" i="21" s="1"/>
  <c r="I26" i="21"/>
  <c r="H26" i="21"/>
  <c r="G26" i="21"/>
  <c r="F26" i="21"/>
  <c r="E26" i="21"/>
  <c r="D26" i="21"/>
  <c r="M25" i="21"/>
  <c r="L25" i="21"/>
  <c r="K25" i="21"/>
  <c r="J25" i="21"/>
  <c r="P25" i="21" s="1"/>
  <c r="I25" i="21"/>
  <c r="H25" i="21"/>
  <c r="G25" i="21"/>
  <c r="F25" i="21"/>
  <c r="E25" i="21"/>
  <c r="D25" i="21"/>
  <c r="O25" i="21" s="1"/>
  <c r="M24" i="21"/>
  <c r="L24" i="21"/>
  <c r="K24" i="21"/>
  <c r="J24" i="21"/>
  <c r="P24" i="21" s="1"/>
  <c r="I24" i="21"/>
  <c r="H24" i="21"/>
  <c r="G24" i="21"/>
  <c r="F24" i="21"/>
  <c r="E24" i="21"/>
  <c r="D24" i="21"/>
  <c r="M23" i="21"/>
  <c r="L23" i="21"/>
  <c r="K23" i="21"/>
  <c r="J23" i="21"/>
  <c r="P23" i="21" s="1"/>
  <c r="I23" i="21"/>
  <c r="H23" i="21"/>
  <c r="G23" i="21"/>
  <c r="F23" i="21"/>
  <c r="E23" i="21"/>
  <c r="D23" i="21"/>
  <c r="O23" i="21" s="1"/>
  <c r="M22" i="21"/>
  <c r="L22" i="21"/>
  <c r="K22" i="21"/>
  <c r="J22" i="21"/>
  <c r="P22" i="21" s="1"/>
  <c r="I22" i="21"/>
  <c r="H22" i="21"/>
  <c r="G22" i="21"/>
  <c r="F22" i="21"/>
  <c r="E22" i="21"/>
  <c r="D22" i="21"/>
  <c r="M20" i="21"/>
  <c r="L20" i="21"/>
  <c r="K20" i="21"/>
  <c r="J20" i="21"/>
  <c r="P20" i="21" s="1"/>
  <c r="I20" i="21"/>
  <c r="H20" i="21"/>
  <c r="G20" i="21"/>
  <c r="F20" i="21"/>
  <c r="E20" i="21"/>
  <c r="D20" i="21"/>
  <c r="M16" i="21"/>
  <c r="L16" i="21"/>
  <c r="K16" i="21"/>
  <c r="J16" i="21"/>
  <c r="P16" i="21" s="1"/>
  <c r="I16" i="21"/>
  <c r="H16" i="21"/>
  <c r="G16" i="21"/>
  <c r="F16" i="21"/>
  <c r="E16" i="21"/>
  <c r="D16" i="21"/>
  <c r="O16" i="21" s="1"/>
  <c r="M8" i="21"/>
  <c r="L8" i="21"/>
  <c r="K8" i="21"/>
  <c r="J8" i="21"/>
  <c r="P8" i="21" s="1"/>
  <c r="I8" i="21"/>
  <c r="H8" i="21"/>
  <c r="G8" i="21"/>
  <c r="F8" i="21"/>
  <c r="E8" i="21"/>
  <c r="D8" i="21"/>
  <c r="O8" i="21" s="1"/>
  <c r="L141" i="21"/>
  <c r="N141" i="21"/>
  <c r="N140" i="21"/>
  <c r="L140" i="21"/>
  <c r="N139" i="21"/>
  <c r="L139" i="21"/>
  <c r="L142" i="21" s="1"/>
  <c r="N138" i="21"/>
  <c r="M138" i="21"/>
  <c r="L138" i="21"/>
  <c r="B114" i="21"/>
  <c r="S89" i="21" s="1"/>
  <c r="F114" i="21" s="1"/>
  <c r="B152" i="21" s="1"/>
  <c r="A76" i="21"/>
  <c r="P41" i="21"/>
  <c r="O41" i="21"/>
  <c r="P40" i="21"/>
  <c r="O40" i="21"/>
  <c r="P39" i="21"/>
  <c r="O39" i="21"/>
  <c r="P38" i="21"/>
  <c r="O38" i="21"/>
  <c r="K48" i="21"/>
  <c r="A49" i="21"/>
  <c r="P21" i="21"/>
  <c r="O21" i="21"/>
  <c r="P19" i="21"/>
  <c r="O19" i="21"/>
  <c r="O18" i="21"/>
  <c r="P18" i="21"/>
  <c r="P17" i="21"/>
  <c r="O17" i="21"/>
  <c r="P15" i="21"/>
  <c r="O15" i="21"/>
  <c r="O14" i="21"/>
  <c r="P14" i="21"/>
  <c r="P13" i="21"/>
  <c r="O13" i="21"/>
  <c r="O12" i="21"/>
  <c r="P12" i="21"/>
  <c r="P11" i="21"/>
  <c r="O11" i="21"/>
  <c r="O10" i="21"/>
  <c r="P10" i="21"/>
  <c r="P9" i="21"/>
  <c r="O9" i="21"/>
  <c r="P7" i="21"/>
  <c r="O7" i="21"/>
  <c r="O6" i="21"/>
  <c r="P6" i="21"/>
  <c r="P5" i="21"/>
  <c r="O5" i="21"/>
  <c r="O4" i="21"/>
  <c r="P4" i="21"/>
  <c r="P3" i="21"/>
  <c r="O3" i="21"/>
  <c r="O2" i="21"/>
  <c r="P2" i="21"/>
  <c r="P42" i="21"/>
  <c r="P89" i="21" s="1"/>
  <c r="P152" i="21" s="1"/>
  <c r="F76" i="21"/>
  <c r="F142" i="20"/>
  <c r="E142" i="20"/>
  <c r="N141" i="20" s="1"/>
  <c r="D142" i="20"/>
  <c r="M141" i="20" s="1"/>
  <c r="C142" i="20"/>
  <c r="L141" i="20" s="1"/>
  <c r="F141" i="20"/>
  <c r="E141" i="20"/>
  <c r="N140" i="20" s="1"/>
  <c r="D141" i="20"/>
  <c r="M140" i="20" s="1"/>
  <c r="C141" i="20"/>
  <c r="L140" i="20" s="1"/>
  <c r="F140" i="20"/>
  <c r="E140" i="20"/>
  <c r="N139" i="20" s="1"/>
  <c r="D140" i="20"/>
  <c r="M139" i="20" s="1"/>
  <c r="C140" i="20"/>
  <c r="L139" i="20" s="1"/>
  <c r="F139" i="20"/>
  <c r="E139" i="20"/>
  <c r="D139" i="20"/>
  <c r="C139" i="20"/>
  <c r="F138" i="20"/>
  <c r="E138" i="20"/>
  <c r="D138" i="20"/>
  <c r="C138" i="20"/>
  <c r="F135" i="20"/>
  <c r="E135" i="20"/>
  <c r="D135" i="20"/>
  <c r="C135" i="20"/>
  <c r="F134" i="20"/>
  <c r="E134" i="20"/>
  <c r="D134" i="20"/>
  <c r="C134" i="20"/>
  <c r="F133" i="20"/>
  <c r="E133" i="20"/>
  <c r="D133" i="20"/>
  <c r="C133" i="20"/>
  <c r="F132" i="20"/>
  <c r="E132" i="20"/>
  <c r="D132" i="20"/>
  <c r="C132" i="20"/>
  <c r="F130" i="20"/>
  <c r="E130" i="20"/>
  <c r="D130" i="20"/>
  <c r="C130" i="20"/>
  <c r="F126" i="20"/>
  <c r="E126" i="20"/>
  <c r="D126" i="20"/>
  <c r="C126" i="20"/>
  <c r="M41" i="20"/>
  <c r="L41" i="20"/>
  <c r="K41" i="20"/>
  <c r="J41" i="20"/>
  <c r="I41" i="20"/>
  <c r="H41" i="20"/>
  <c r="G41" i="20"/>
  <c r="F41" i="20"/>
  <c r="E41" i="20"/>
  <c r="D41" i="20"/>
  <c r="M40" i="20"/>
  <c r="L40" i="20"/>
  <c r="K40" i="20"/>
  <c r="J40" i="20"/>
  <c r="I40" i="20"/>
  <c r="H40" i="20"/>
  <c r="G40" i="20"/>
  <c r="F40" i="20"/>
  <c r="E40" i="20"/>
  <c r="D40" i="20"/>
  <c r="M39" i="20"/>
  <c r="L39" i="20"/>
  <c r="K39" i="20"/>
  <c r="J39" i="20"/>
  <c r="I39" i="20"/>
  <c r="H39" i="20"/>
  <c r="G39" i="20"/>
  <c r="F39" i="20"/>
  <c r="E39" i="20"/>
  <c r="D39" i="20"/>
  <c r="M38" i="20"/>
  <c r="L38" i="20"/>
  <c r="K38" i="20"/>
  <c r="J38" i="20"/>
  <c r="I38" i="20"/>
  <c r="H38" i="20"/>
  <c r="G38" i="20"/>
  <c r="F38" i="20"/>
  <c r="E38" i="20"/>
  <c r="D38" i="20"/>
  <c r="M37" i="20"/>
  <c r="L37" i="20"/>
  <c r="K37" i="20"/>
  <c r="J37" i="20"/>
  <c r="P37" i="20" s="1"/>
  <c r="I37" i="20"/>
  <c r="H37" i="20"/>
  <c r="G37" i="20"/>
  <c r="F37" i="20"/>
  <c r="E37" i="20"/>
  <c r="D37" i="20"/>
  <c r="O37" i="20" s="1"/>
  <c r="M36" i="20"/>
  <c r="L36" i="20"/>
  <c r="K36" i="20"/>
  <c r="J36" i="20"/>
  <c r="P36" i="20" s="1"/>
  <c r="I36" i="20"/>
  <c r="H36" i="20"/>
  <c r="G36" i="20"/>
  <c r="F36" i="20"/>
  <c r="E36" i="20"/>
  <c r="D36" i="20"/>
  <c r="M35" i="20"/>
  <c r="L35" i="20"/>
  <c r="K35" i="20"/>
  <c r="J35" i="20"/>
  <c r="P35" i="20" s="1"/>
  <c r="I35" i="20"/>
  <c r="H35" i="20"/>
  <c r="G35" i="20"/>
  <c r="F35" i="20"/>
  <c r="E35" i="20"/>
  <c r="D35" i="20"/>
  <c r="O35" i="20" s="1"/>
  <c r="M34" i="20"/>
  <c r="L34" i="20"/>
  <c r="K34" i="20"/>
  <c r="J34" i="20"/>
  <c r="P34" i="20" s="1"/>
  <c r="I34" i="20"/>
  <c r="H34" i="20"/>
  <c r="G34" i="20"/>
  <c r="F34" i="20"/>
  <c r="E34" i="20"/>
  <c r="D34" i="20"/>
  <c r="M33" i="20"/>
  <c r="L33" i="20"/>
  <c r="K33" i="20"/>
  <c r="J33" i="20"/>
  <c r="P33" i="20" s="1"/>
  <c r="I33" i="20"/>
  <c r="H33" i="20"/>
  <c r="G33" i="20"/>
  <c r="F33" i="20"/>
  <c r="E33" i="20"/>
  <c r="D33" i="20"/>
  <c r="O33" i="20" s="1"/>
  <c r="M32" i="20"/>
  <c r="L32" i="20"/>
  <c r="K32" i="20"/>
  <c r="J32" i="20"/>
  <c r="P32" i="20" s="1"/>
  <c r="I32" i="20"/>
  <c r="H32" i="20"/>
  <c r="G32" i="20"/>
  <c r="F32" i="20"/>
  <c r="E32" i="20"/>
  <c r="D32" i="20"/>
  <c r="M31" i="20"/>
  <c r="L31" i="20"/>
  <c r="K31" i="20"/>
  <c r="J31" i="20"/>
  <c r="P31" i="20" s="1"/>
  <c r="I31" i="20"/>
  <c r="H31" i="20"/>
  <c r="G31" i="20"/>
  <c r="F31" i="20"/>
  <c r="E31" i="20"/>
  <c r="D31" i="20"/>
  <c r="M30" i="20"/>
  <c r="L30" i="20"/>
  <c r="K30" i="20"/>
  <c r="J30" i="20"/>
  <c r="P30" i="20" s="1"/>
  <c r="I30" i="20"/>
  <c r="H30" i="20"/>
  <c r="G30" i="20"/>
  <c r="F30" i="20"/>
  <c r="E30" i="20"/>
  <c r="D30" i="20"/>
  <c r="M29" i="20"/>
  <c r="L29" i="20"/>
  <c r="K29" i="20"/>
  <c r="J29" i="20"/>
  <c r="P29" i="20" s="1"/>
  <c r="I29" i="20"/>
  <c r="H29" i="20"/>
  <c r="G29" i="20"/>
  <c r="F29" i="20"/>
  <c r="E29" i="20"/>
  <c r="D29" i="20"/>
  <c r="O29" i="20" s="1"/>
  <c r="M28" i="20"/>
  <c r="L28" i="20"/>
  <c r="K28" i="20"/>
  <c r="J28" i="20"/>
  <c r="P28" i="20" s="1"/>
  <c r="I28" i="20"/>
  <c r="H28" i="20"/>
  <c r="G28" i="20"/>
  <c r="F28" i="20"/>
  <c r="E28" i="20"/>
  <c r="D28" i="20"/>
  <c r="M27" i="20"/>
  <c r="L27" i="20"/>
  <c r="K27" i="20"/>
  <c r="J27" i="20"/>
  <c r="P27" i="20" s="1"/>
  <c r="I27" i="20"/>
  <c r="H27" i="20"/>
  <c r="G27" i="20"/>
  <c r="F27" i="20"/>
  <c r="E27" i="20"/>
  <c r="D27" i="20"/>
  <c r="O27" i="20" s="1"/>
  <c r="M26" i="20"/>
  <c r="L26" i="20"/>
  <c r="K26" i="20"/>
  <c r="J26" i="20"/>
  <c r="I26" i="20"/>
  <c r="H26" i="20"/>
  <c r="G26" i="20"/>
  <c r="F26" i="20"/>
  <c r="E26" i="20"/>
  <c r="D26" i="20"/>
  <c r="M25" i="20"/>
  <c r="L25" i="20"/>
  <c r="K25" i="20"/>
  <c r="J25" i="20"/>
  <c r="I25" i="20"/>
  <c r="H25" i="20"/>
  <c r="G25" i="20"/>
  <c r="F25" i="20"/>
  <c r="E25" i="20"/>
  <c r="D25" i="20"/>
  <c r="M24" i="20"/>
  <c r="L24" i="20"/>
  <c r="K24" i="20"/>
  <c r="J24" i="20"/>
  <c r="P24" i="20" s="1"/>
  <c r="I24" i="20"/>
  <c r="H24" i="20"/>
  <c r="G24" i="20"/>
  <c r="F24" i="20"/>
  <c r="E24" i="20"/>
  <c r="D24" i="20"/>
  <c r="M23" i="20"/>
  <c r="L23" i="20"/>
  <c r="K23" i="20"/>
  <c r="J23" i="20"/>
  <c r="P23" i="20" s="1"/>
  <c r="I23" i="20"/>
  <c r="H23" i="20"/>
  <c r="G23" i="20"/>
  <c r="F23" i="20"/>
  <c r="E23" i="20"/>
  <c r="D23" i="20"/>
  <c r="O23" i="20" s="1"/>
  <c r="M22" i="20"/>
  <c r="L22" i="20"/>
  <c r="K22" i="20"/>
  <c r="J22" i="20"/>
  <c r="P22" i="20" s="1"/>
  <c r="I22" i="20"/>
  <c r="H22" i="20"/>
  <c r="G22" i="20"/>
  <c r="F22" i="20"/>
  <c r="E22" i="20"/>
  <c r="D22" i="20"/>
  <c r="M20" i="20"/>
  <c r="L20" i="20"/>
  <c r="K20" i="20"/>
  <c r="J20" i="20"/>
  <c r="P20" i="20" s="1"/>
  <c r="I20" i="20"/>
  <c r="H20" i="20"/>
  <c r="G20" i="20"/>
  <c r="F20" i="20"/>
  <c r="E20" i="20"/>
  <c r="D20" i="20"/>
  <c r="M16" i="20"/>
  <c r="L16" i="20"/>
  <c r="K16" i="20"/>
  <c r="J16" i="20"/>
  <c r="P16" i="20" s="1"/>
  <c r="I16" i="20"/>
  <c r="H16" i="20"/>
  <c r="G16" i="20"/>
  <c r="F16" i="20"/>
  <c r="E16" i="20"/>
  <c r="D16" i="20"/>
  <c r="O16" i="20" s="1"/>
  <c r="M8" i="20"/>
  <c r="L8" i="20"/>
  <c r="K8" i="20"/>
  <c r="J8" i="20"/>
  <c r="P8" i="20" s="1"/>
  <c r="I8" i="20"/>
  <c r="H8" i="20"/>
  <c r="G8" i="20"/>
  <c r="F8" i="20"/>
  <c r="E8" i="20"/>
  <c r="D8" i="20"/>
  <c r="O8" i="20" s="1"/>
  <c r="N138" i="20"/>
  <c r="M138" i="20"/>
  <c r="L138" i="20"/>
  <c r="B114" i="20"/>
  <c r="S89" i="20" s="1"/>
  <c r="F114" i="20" s="1"/>
  <c r="B152" i="20" s="1"/>
  <c r="A76" i="20"/>
  <c r="P41" i="20"/>
  <c r="O41" i="20"/>
  <c r="P40" i="20"/>
  <c r="O40" i="20"/>
  <c r="P39" i="20"/>
  <c r="O39" i="20"/>
  <c r="P38" i="20"/>
  <c r="O38" i="20"/>
  <c r="K48" i="20"/>
  <c r="B62" i="20"/>
  <c r="A49" i="20"/>
  <c r="P21" i="20"/>
  <c r="O21" i="20"/>
  <c r="A48" i="20"/>
  <c r="P19" i="20"/>
  <c r="O19" i="20"/>
  <c r="O18" i="20"/>
  <c r="P17" i="20"/>
  <c r="O17" i="20"/>
  <c r="P15" i="20"/>
  <c r="O15" i="20"/>
  <c r="O14" i="20"/>
  <c r="P13" i="20"/>
  <c r="O13" i="20"/>
  <c r="O12" i="20"/>
  <c r="P12" i="20"/>
  <c r="P11" i="20"/>
  <c r="O11" i="20"/>
  <c r="O10" i="20"/>
  <c r="P9" i="20"/>
  <c r="O9" i="20"/>
  <c r="P7" i="20"/>
  <c r="O7" i="20"/>
  <c r="O6" i="20"/>
  <c r="P5" i="20"/>
  <c r="O5" i="20"/>
  <c r="O4" i="20"/>
  <c r="P4" i="20"/>
  <c r="P3" i="20"/>
  <c r="O3" i="20"/>
  <c r="P2" i="20"/>
  <c r="O2" i="20"/>
  <c r="P42" i="20"/>
  <c r="P89" i="20" s="1"/>
  <c r="P152" i="20" s="1"/>
  <c r="F76" i="20"/>
  <c r="F142" i="19"/>
  <c r="E142" i="19"/>
  <c r="N141" i="19" s="1"/>
  <c r="D142" i="19"/>
  <c r="M141" i="19" s="1"/>
  <c r="C142" i="19"/>
  <c r="L141" i="19" s="1"/>
  <c r="F141" i="19"/>
  <c r="E141" i="19"/>
  <c r="N140" i="19" s="1"/>
  <c r="D141" i="19"/>
  <c r="M140" i="19" s="1"/>
  <c r="C141" i="19"/>
  <c r="L140" i="19" s="1"/>
  <c r="F140" i="19"/>
  <c r="E140" i="19"/>
  <c r="N139" i="19" s="1"/>
  <c r="D140" i="19"/>
  <c r="M139" i="19" s="1"/>
  <c r="C140" i="19"/>
  <c r="L139" i="19" s="1"/>
  <c r="F139" i="19"/>
  <c r="E139" i="19"/>
  <c r="D139" i="19"/>
  <c r="C139" i="19"/>
  <c r="F138" i="19"/>
  <c r="E138" i="19"/>
  <c r="D138" i="19"/>
  <c r="C138" i="19"/>
  <c r="F135" i="19"/>
  <c r="E135" i="19"/>
  <c r="D135" i="19"/>
  <c r="C135" i="19"/>
  <c r="F134" i="19"/>
  <c r="E134" i="19"/>
  <c r="D134" i="19"/>
  <c r="C134" i="19"/>
  <c r="F133" i="19"/>
  <c r="E133" i="19"/>
  <c r="D133" i="19"/>
  <c r="C133" i="19"/>
  <c r="F132" i="19"/>
  <c r="E132" i="19"/>
  <c r="D132" i="19"/>
  <c r="C132" i="19"/>
  <c r="F130" i="19"/>
  <c r="E130" i="19"/>
  <c r="D130" i="19"/>
  <c r="C130" i="19"/>
  <c r="F126" i="19"/>
  <c r="E126" i="19"/>
  <c r="D126" i="19"/>
  <c r="C126" i="19"/>
  <c r="M41" i="19"/>
  <c r="L41" i="19"/>
  <c r="K41" i="19"/>
  <c r="J41" i="19"/>
  <c r="I41" i="19"/>
  <c r="H41" i="19"/>
  <c r="G41" i="19"/>
  <c r="F41" i="19"/>
  <c r="E41" i="19"/>
  <c r="D41" i="19"/>
  <c r="M40" i="19"/>
  <c r="L40" i="19"/>
  <c r="K40" i="19"/>
  <c r="J40" i="19"/>
  <c r="I40" i="19"/>
  <c r="H40" i="19"/>
  <c r="G40" i="19"/>
  <c r="F40" i="19"/>
  <c r="E40" i="19"/>
  <c r="D40" i="19"/>
  <c r="M39" i="19"/>
  <c r="L39" i="19"/>
  <c r="K39" i="19"/>
  <c r="J39" i="19"/>
  <c r="I39" i="19"/>
  <c r="H39" i="19"/>
  <c r="G39" i="19"/>
  <c r="F39" i="19"/>
  <c r="E39" i="19"/>
  <c r="D39" i="19"/>
  <c r="M38" i="19"/>
  <c r="L38" i="19"/>
  <c r="K38" i="19"/>
  <c r="J38" i="19"/>
  <c r="I38" i="19"/>
  <c r="H38" i="19"/>
  <c r="G38" i="19"/>
  <c r="F38" i="19"/>
  <c r="E38" i="19"/>
  <c r="D38" i="19"/>
  <c r="M37" i="19"/>
  <c r="L37" i="19"/>
  <c r="K37" i="19"/>
  <c r="J37" i="19"/>
  <c r="P37" i="19" s="1"/>
  <c r="I37" i="19"/>
  <c r="H37" i="19"/>
  <c r="G37" i="19"/>
  <c r="F37" i="19"/>
  <c r="E37" i="19"/>
  <c r="D37" i="19"/>
  <c r="O37" i="19" s="1"/>
  <c r="M36" i="19"/>
  <c r="L36" i="19"/>
  <c r="K36" i="19"/>
  <c r="J36" i="19"/>
  <c r="I36" i="19"/>
  <c r="H36" i="19"/>
  <c r="G36" i="19"/>
  <c r="F36" i="19"/>
  <c r="E36" i="19"/>
  <c r="D36" i="19"/>
  <c r="M35" i="19"/>
  <c r="L35" i="19"/>
  <c r="K35" i="19"/>
  <c r="J35" i="19"/>
  <c r="P35" i="19" s="1"/>
  <c r="I35" i="19"/>
  <c r="H35" i="19"/>
  <c r="G35" i="19"/>
  <c r="F35" i="19"/>
  <c r="E35" i="19"/>
  <c r="D35" i="19"/>
  <c r="O35" i="19" s="1"/>
  <c r="M34" i="19"/>
  <c r="L34" i="19"/>
  <c r="K34" i="19"/>
  <c r="J34" i="19"/>
  <c r="P34" i="19" s="1"/>
  <c r="I34" i="19"/>
  <c r="H34" i="19"/>
  <c r="G34" i="19"/>
  <c r="F34" i="19"/>
  <c r="E34" i="19"/>
  <c r="D34" i="19"/>
  <c r="M33" i="19"/>
  <c r="L33" i="19"/>
  <c r="K33" i="19"/>
  <c r="J33" i="19"/>
  <c r="P33" i="19" s="1"/>
  <c r="I33" i="19"/>
  <c r="H33" i="19"/>
  <c r="G33" i="19"/>
  <c r="F33" i="19"/>
  <c r="E33" i="19"/>
  <c r="D33" i="19"/>
  <c r="O33" i="19" s="1"/>
  <c r="M32" i="19"/>
  <c r="L32" i="19"/>
  <c r="K32" i="19"/>
  <c r="J32" i="19"/>
  <c r="P32" i="19" s="1"/>
  <c r="I32" i="19"/>
  <c r="H32" i="19"/>
  <c r="G32" i="19"/>
  <c r="F32" i="19"/>
  <c r="E32" i="19"/>
  <c r="D32" i="19"/>
  <c r="M31" i="19"/>
  <c r="L31" i="19"/>
  <c r="K31" i="19"/>
  <c r="J31" i="19"/>
  <c r="I31" i="19"/>
  <c r="H31" i="19"/>
  <c r="G31" i="19"/>
  <c r="F31" i="19"/>
  <c r="E31" i="19"/>
  <c r="D31" i="19"/>
  <c r="O31" i="19" s="1"/>
  <c r="M30" i="19"/>
  <c r="L30" i="19"/>
  <c r="K30" i="19"/>
  <c r="J30" i="19"/>
  <c r="P30" i="19" s="1"/>
  <c r="I30" i="19"/>
  <c r="H30" i="19"/>
  <c r="G30" i="19"/>
  <c r="F30" i="19"/>
  <c r="E30" i="19"/>
  <c r="D30" i="19"/>
  <c r="M29" i="19"/>
  <c r="L29" i="19"/>
  <c r="K29" i="19"/>
  <c r="J29" i="19"/>
  <c r="P29" i="19" s="1"/>
  <c r="I29" i="19"/>
  <c r="H29" i="19"/>
  <c r="G29" i="19"/>
  <c r="F29" i="19"/>
  <c r="E29" i="19"/>
  <c r="D29" i="19"/>
  <c r="O29" i="19" s="1"/>
  <c r="M28" i="19"/>
  <c r="L28" i="19"/>
  <c r="K28" i="19"/>
  <c r="J28" i="19"/>
  <c r="P28" i="19" s="1"/>
  <c r="I28" i="19"/>
  <c r="H28" i="19"/>
  <c r="G28" i="19"/>
  <c r="F28" i="19"/>
  <c r="E28" i="19"/>
  <c r="D28" i="19"/>
  <c r="M27" i="19"/>
  <c r="L27" i="19"/>
  <c r="K27" i="19"/>
  <c r="J27" i="19"/>
  <c r="P27" i="19" s="1"/>
  <c r="I27" i="19"/>
  <c r="H27" i="19"/>
  <c r="G27" i="19"/>
  <c r="F27" i="19"/>
  <c r="E27" i="19"/>
  <c r="D27" i="19"/>
  <c r="O27" i="19" s="1"/>
  <c r="M26" i="19"/>
  <c r="L26" i="19"/>
  <c r="K26" i="19"/>
  <c r="J26" i="19"/>
  <c r="P26" i="19" s="1"/>
  <c r="I26" i="19"/>
  <c r="H26" i="19"/>
  <c r="G26" i="19"/>
  <c r="F26" i="19"/>
  <c r="E26" i="19"/>
  <c r="D26" i="19"/>
  <c r="M25" i="19"/>
  <c r="L25" i="19"/>
  <c r="K25" i="19"/>
  <c r="J25" i="19"/>
  <c r="I25" i="19"/>
  <c r="H25" i="19"/>
  <c r="G25" i="19"/>
  <c r="F25" i="19"/>
  <c r="E25" i="19"/>
  <c r="D25" i="19"/>
  <c r="O25" i="19" s="1"/>
  <c r="M24" i="19"/>
  <c r="L24" i="19"/>
  <c r="K24" i="19"/>
  <c r="J24" i="19"/>
  <c r="P24" i="19" s="1"/>
  <c r="I24" i="19"/>
  <c r="H24" i="19"/>
  <c r="G24" i="19"/>
  <c r="F24" i="19"/>
  <c r="E24" i="19"/>
  <c r="D24" i="19"/>
  <c r="M23" i="19"/>
  <c r="L23" i="19"/>
  <c r="K23" i="19"/>
  <c r="J23" i="19"/>
  <c r="P23" i="19" s="1"/>
  <c r="I23" i="19"/>
  <c r="H23" i="19"/>
  <c r="G23" i="19"/>
  <c r="F23" i="19"/>
  <c r="E23" i="19"/>
  <c r="D23" i="19"/>
  <c r="O23" i="19" s="1"/>
  <c r="M22" i="19"/>
  <c r="L22" i="19"/>
  <c r="K22" i="19"/>
  <c r="J22" i="19"/>
  <c r="P22" i="19" s="1"/>
  <c r="I22" i="19"/>
  <c r="H22" i="19"/>
  <c r="G22" i="19"/>
  <c r="F22" i="19"/>
  <c r="E22" i="19"/>
  <c r="D22" i="19"/>
  <c r="M20" i="19"/>
  <c r="L20" i="19"/>
  <c r="K20" i="19"/>
  <c r="J20" i="19"/>
  <c r="P20" i="19" s="1"/>
  <c r="I20" i="19"/>
  <c r="H20" i="19"/>
  <c r="G20" i="19"/>
  <c r="F20" i="19"/>
  <c r="E20" i="19"/>
  <c r="D20" i="19"/>
  <c r="M16" i="19"/>
  <c r="L16" i="19"/>
  <c r="K16" i="19"/>
  <c r="J16" i="19"/>
  <c r="P16" i="19" s="1"/>
  <c r="I16" i="19"/>
  <c r="H16" i="19"/>
  <c r="G16" i="19"/>
  <c r="F16" i="19"/>
  <c r="E16" i="19"/>
  <c r="D16" i="19"/>
  <c r="O16" i="19" s="1"/>
  <c r="M8" i="19"/>
  <c r="L8" i="19"/>
  <c r="K8" i="19"/>
  <c r="J8" i="19"/>
  <c r="P8" i="19" s="1"/>
  <c r="I8" i="19"/>
  <c r="H8" i="19"/>
  <c r="G8" i="19"/>
  <c r="F8" i="19"/>
  <c r="E8" i="19"/>
  <c r="D8" i="19"/>
  <c r="O8" i="19" s="1"/>
  <c r="N138" i="19"/>
  <c r="M138" i="19"/>
  <c r="L138" i="19"/>
  <c r="B114" i="19"/>
  <c r="B89" i="19" s="1"/>
  <c r="B42" i="19" s="1"/>
  <c r="A76" i="19"/>
  <c r="P41" i="19"/>
  <c r="O41" i="19"/>
  <c r="P40" i="19"/>
  <c r="O40" i="19"/>
  <c r="P39" i="19"/>
  <c r="O39" i="19"/>
  <c r="P38" i="19"/>
  <c r="O38" i="19"/>
  <c r="K48" i="19"/>
  <c r="A49" i="19"/>
  <c r="P21" i="19"/>
  <c r="O21" i="19"/>
  <c r="P19" i="19"/>
  <c r="O19" i="19"/>
  <c r="O18" i="19"/>
  <c r="P18" i="19"/>
  <c r="P17" i="19"/>
  <c r="O17" i="19"/>
  <c r="P15" i="19"/>
  <c r="O15" i="19"/>
  <c r="O14" i="19"/>
  <c r="P14" i="19"/>
  <c r="P13" i="19"/>
  <c r="O13" i="19"/>
  <c r="O12" i="19"/>
  <c r="P12" i="19"/>
  <c r="P11" i="19"/>
  <c r="O11" i="19"/>
  <c r="O10" i="19"/>
  <c r="P10" i="19"/>
  <c r="P9" i="19"/>
  <c r="O9" i="19"/>
  <c r="P7" i="19"/>
  <c r="O7" i="19"/>
  <c r="O6" i="19"/>
  <c r="P6" i="19"/>
  <c r="P5" i="19"/>
  <c r="O5" i="19"/>
  <c r="O4" i="19"/>
  <c r="P4" i="19"/>
  <c r="P3" i="19"/>
  <c r="O3" i="19"/>
  <c r="O2" i="19"/>
  <c r="P2" i="19"/>
  <c r="P42" i="19"/>
  <c r="P89" i="19" s="1"/>
  <c r="P152" i="19" s="1"/>
  <c r="F76" i="19"/>
  <c r="F142" i="18"/>
  <c r="E142" i="18"/>
  <c r="N141" i="18" s="1"/>
  <c r="D142" i="18"/>
  <c r="C142" i="18"/>
  <c r="F141" i="18"/>
  <c r="E141" i="18"/>
  <c r="N140" i="18" s="1"/>
  <c r="D141" i="18"/>
  <c r="M140" i="18" s="1"/>
  <c r="C141" i="18"/>
  <c r="L140" i="18" s="1"/>
  <c r="F140" i="18"/>
  <c r="E140" i="18"/>
  <c r="N139" i="18" s="1"/>
  <c r="D140" i="18"/>
  <c r="M139" i="18" s="1"/>
  <c r="C140" i="18"/>
  <c r="L139" i="18" s="1"/>
  <c r="F139" i="18"/>
  <c r="E139" i="18"/>
  <c r="D139" i="18"/>
  <c r="C139" i="18"/>
  <c r="F138" i="18"/>
  <c r="E138" i="18"/>
  <c r="D138" i="18"/>
  <c r="C138" i="18"/>
  <c r="F135" i="18"/>
  <c r="E135" i="18"/>
  <c r="D135" i="18"/>
  <c r="C135" i="18"/>
  <c r="F134" i="18"/>
  <c r="E134" i="18"/>
  <c r="D134" i="18"/>
  <c r="C134" i="18"/>
  <c r="F133" i="18"/>
  <c r="E133" i="18"/>
  <c r="D133" i="18"/>
  <c r="C133" i="18"/>
  <c r="F132" i="18"/>
  <c r="E132" i="18"/>
  <c r="D132" i="18"/>
  <c r="C132" i="18"/>
  <c r="F130" i="18"/>
  <c r="E130" i="18"/>
  <c r="D130" i="18"/>
  <c r="C130" i="18"/>
  <c r="F126" i="18"/>
  <c r="E126" i="18"/>
  <c r="D126" i="18"/>
  <c r="C126" i="18"/>
  <c r="M41" i="18"/>
  <c r="L41" i="18"/>
  <c r="K41" i="18"/>
  <c r="J41" i="18"/>
  <c r="I41" i="18"/>
  <c r="H41" i="18"/>
  <c r="G41" i="18"/>
  <c r="F41" i="18"/>
  <c r="E41" i="18"/>
  <c r="D41" i="18"/>
  <c r="M40" i="18"/>
  <c r="L40" i="18"/>
  <c r="K40" i="18"/>
  <c r="J40" i="18"/>
  <c r="I40" i="18"/>
  <c r="H40" i="18"/>
  <c r="G40" i="18"/>
  <c r="F40" i="18"/>
  <c r="E40" i="18"/>
  <c r="D40" i="18"/>
  <c r="M39" i="18"/>
  <c r="L39" i="18"/>
  <c r="K39" i="18"/>
  <c r="J39" i="18"/>
  <c r="I39" i="18"/>
  <c r="H39" i="18"/>
  <c r="G39" i="18"/>
  <c r="F39" i="18"/>
  <c r="E39" i="18"/>
  <c r="D39" i="18"/>
  <c r="M38" i="18"/>
  <c r="L38" i="18"/>
  <c r="K38" i="18"/>
  <c r="J38" i="18"/>
  <c r="I38" i="18"/>
  <c r="H38" i="18"/>
  <c r="G38" i="18"/>
  <c r="F38" i="18"/>
  <c r="E38" i="18"/>
  <c r="D38" i="18"/>
  <c r="M37" i="18"/>
  <c r="L37" i="18"/>
  <c r="K37" i="18"/>
  <c r="J37" i="18"/>
  <c r="P37" i="18" s="1"/>
  <c r="I37" i="18"/>
  <c r="H37" i="18"/>
  <c r="G37" i="18"/>
  <c r="F37" i="18"/>
  <c r="E37" i="18"/>
  <c r="D37" i="18"/>
  <c r="O37" i="18" s="1"/>
  <c r="M36" i="18"/>
  <c r="L36" i="18"/>
  <c r="K36" i="18"/>
  <c r="J36" i="18"/>
  <c r="P36" i="18" s="1"/>
  <c r="I36" i="18"/>
  <c r="H36" i="18"/>
  <c r="G36" i="18"/>
  <c r="F36" i="18"/>
  <c r="E36" i="18"/>
  <c r="D36" i="18"/>
  <c r="M35" i="18"/>
  <c r="L35" i="18"/>
  <c r="K35" i="18"/>
  <c r="J35" i="18"/>
  <c r="P35" i="18" s="1"/>
  <c r="I35" i="18"/>
  <c r="H35" i="18"/>
  <c r="G35" i="18"/>
  <c r="F35" i="18"/>
  <c r="E35" i="18"/>
  <c r="D35" i="18"/>
  <c r="O35" i="18" s="1"/>
  <c r="M34" i="18"/>
  <c r="L34" i="18"/>
  <c r="K34" i="18"/>
  <c r="J34" i="18"/>
  <c r="P34" i="18" s="1"/>
  <c r="I34" i="18"/>
  <c r="H34" i="18"/>
  <c r="G34" i="18"/>
  <c r="F34" i="18"/>
  <c r="E34" i="18"/>
  <c r="D34" i="18"/>
  <c r="M33" i="18"/>
  <c r="L33" i="18"/>
  <c r="K33" i="18"/>
  <c r="J33" i="18"/>
  <c r="P33" i="18" s="1"/>
  <c r="I33" i="18"/>
  <c r="H33" i="18"/>
  <c r="G33" i="18"/>
  <c r="F33" i="18"/>
  <c r="E33" i="18"/>
  <c r="D33" i="18"/>
  <c r="O33" i="18" s="1"/>
  <c r="M32" i="18"/>
  <c r="L32" i="18"/>
  <c r="K32" i="18"/>
  <c r="J32" i="18"/>
  <c r="P32" i="18" s="1"/>
  <c r="I32" i="18"/>
  <c r="H32" i="18"/>
  <c r="G32" i="18"/>
  <c r="F32" i="18"/>
  <c r="E32" i="18"/>
  <c r="D32" i="18"/>
  <c r="M31" i="18"/>
  <c r="L31" i="18"/>
  <c r="K31" i="18"/>
  <c r="J31" i="18"/>
  <c r="P31" i="18" s="1"/>
  <c r="I31" i="18"/>
  <c r="H31" i="18"/>
  <c r="G31" i="18"/>
  <c r="F31" i="18"/>
  <c r="E31" i="18"/>
  <c r="D31" i="18"/>
  <c r="M30" i="18"/>
  <c r="L30" i="18"/>
  <c r="K30" i="18"/>
  <c r="J30" i="18"/>
  <c r="P30" i="18" s="1"/>
  <c r="I30" i="18"/>
  <c r="H30" i="18"/>
  <c r="G30" i="18"/>
  <c r="F30" i="18"/>
  <c r="E30" i="18"/>
  <c r="D30" i="18"/>
  <c r="M29" i="18"/>
  <c r="L29" i="18"/>
  <c r="K29" i="18"/>
  <c r="J29" i="18"/>
  <c r="P29" i="18" s="1"/>
  <c r="I29" i="18"/>
  <c r="H29" i="18"/>
  <c r="G29" i="18"/>
  <c r="F29" i="18"/>
  <c r="E29" i="18"/>
  <c r="D29" i="18"/>
  <c r="O29" i="18" s="1"/>
  <c r="M28" i="18"/>
  <c r="L28" i="18"/>
  <c r="K28" i="18"/>
  <c r="J28" i="18"/>
  <c r="P28" i="18" s="1"/>
  <c r="I28" i="18"/>
  <c r="H28" i="18"/>
  <c r="G28" i="18"/>
  <c r="F28" i="18"/>
  <c r="E28" i="18"/>
  <c r="D28" i="18"/>
  <c r="M27" i="18"/>
  <c r="L27" i="18"/>
  <c r="K27" i="18"/>
  <c r="J27" i="18"/>
  <c r="P27" i="18" s="1"/>
  <c r="I27" i="18"/>
  <c r="H27" i="18"/>
  <c r="G27" i="18"/>
  <c r="F27" i="18"/>
  <c r="E27" i="18"/>
  <c r="D27" i="18"/>
  <c r="O27" i="18" s="1"/>
  <c r="M26" i="18"/>
  <c r="L26" i="18"/>
  <c r="K26" i="18"/>
  <c r="J26" i="18"/>
  <c r="I26" i="18"/>
  <c r="H26" i="18"/>
  <c r="G26" i="18"/>
  <c r="F26" i="18"/>
  <c r="E26" i="18"/>
  <c r="D26" i="18"/>
  <c r="M25" i="18"/>
  <c r="L25" i="18"/>
  <c r="K25" i="18"/>
  <c r="J25" i="18"/>
  <c r="I25" i="18"/>
  <c r="H25" i="18"/>
  <c r="G25" i="18"/>
  <c r="F25" i="18"/>
  <c r="E25" i="18"/>
  <c r="D25" i="18"/>
  <c r="M24" i="18"/>
  <c r="L24" i="18"/>
  <c r="K24" i="18"/>
  <c r="J24" i="18"/>
  <c r="P24" i="18" s="1"/>
  <c r="I24" i="18"/>
  <c r="H24" i="18"/>
  <c r="G24" i="18"/>
  <c r="F24" i="18"/>
  <c r="E24" i="18"/>
  <c r="D24" i="18"/>
  <c r="M23" i="18"/>
  <c r="L23" i="18"/>
  <c r="K23" i="18"/>
  <c r="J23" i="18"/>
  <c r="P23" i="18" s="1"/>
  <c r="I23" i="18"/>
  <c r="H23" i="18"/>
  <c r="G23" i="18"/>
  <c r="F23" i="18"/>
  <c r="E23" i="18"/>
  <c r="D23" i="18"/>
  <c r="O23" i="18" s="1"/>
  <c r="M22" i="18"/>
  <c r="L22" i="18"/>
  <c r="K22" i="18"/>
  <c r="J22" i="18"/>
  <c r="P22" i="18" s="1"/>
  <c r="I22" i="18"/>
  <c r="H22" i="18"/>
  <c r="G22" i="18"/>
  <c r="F22" i="18"/>
  <c r="E22" i="18"/>
  <c r="D22" i="18"/>
  <c r="M20" i="18"/>
  <c r="L20" i="18"/>
  <c r="K20" i="18"/>
  <c r="J20" i="18"/>
  <c r="P20" i="18" s="1"/>
  <c r="I20" i="18"/>
  <c r="H20" i="18"/>
  <c r="G20" i="18"/>
  <c r="F20" i="18"/>
  <c r="E20" i="18"/>
  <c r="D20" i="18"/>
  <c r="M16" i="18"/>
  <c r="L16" i="18"/>
  <c r="K16" i="18"/>
  <c r="J16" i="18"/>
  <c r="P16" i="18" s="1"/>
  <c r="I16" i="18"/>
  <c r="H16" i="18"/>
  <c r="G16" i="18"/>
  <c r="F16" i="18"/>
  <c r="E16" i="18"/>
  <c r="D16" i="18"/>
  <c r="O16" i="18" s="1"/>
  <c r="M8" i="18"/>
  <c r="L8" i="18"/>
  <c r="K8" i="18"/>
  <c r="J8" i="18"/>
  <c r="P8" i="18" s="1"/>
  <c r="I8" i="18"/>
  <c r="H8" i="18"/>
  <c r="G8" i="18"/>
  <c r="F8" i="18"/>
  <c r="E8" i="18"/>
  <c r="D8" i="18"/>
  <c r="O8" i="18" s="1"/>
  <c r="M141" i="18"/>
  <c r="L141" i="18"/>
  <c r="N138" i="18"/>
  <c r="M138" i="18"/>
  <c r="L138" i="18"/>
  <c r="B114" i="18"/>
  <c r="S89" i="18" s="1"/>
  <c r="F114" i="18" s="1"/>
  <c r="B152" i="18" s="1"/>
  <c r="A76" i="18"/>
  <c r="P41" i="18"/>
  <c r="O41" i="18"/>
  <c r="P40" i="18"/>
  <c r="O40" i="18"/>
  <c r="P39" i="18"/>
  <c r="O39" i="18"/>
  <c r="P38" i="18"/>
  <c r="O38" i="18"/>
  <c r="K48" i="18"/>
  <c r="A49" i="18"/>
  <c r="P21" i="18"/>
  <c r="O21" i="18"/>
  <c r="A48" i="18"/>
  <c r="P19" i="18"/>
  <c r="O19" i="18"/>
  <c r="O18" i="18"/>
  <c r="O17" i="18"/>
  <c r="P17" i="18"/>
  <c r="P15" i="18"/>
  <c r="O15" i="18"/>
  <c r="O14" i="18"/>
  <c r="O13" i="18"/>
  <c r="P13" i="18"/>
  <c r="O12" i="18"/>
  <c r="P12" i="18"/>
  <c r="P11" i="18"/>
  <c r="O11" i="18"/>
  <c r="O10" i="18"/>
  <c r="O9" i="18"/>
  <c r="P9" i="18"/>
  <c r="P7" i="18"/>
  <c r="O7" i="18"/>
  <c r="O6" i="18"/>
  <c r="O5" i="18"/>
  <c r="P5" i="18"/>
  <c r="O4" i="18"/>
  <c r="P4" i="18"/>
  <c r="P3" i="18"/>
  <c r="O3" i="18"/>
  <c r="O2" i="18"/>
  <c r="P2" i="18"/>
  <c r="P42" i="18"/>
  <c r="P89" i="18" s="1"/>
  <c r="P152" i="18" s="1"/>
  <c r="F76" i="18"/>
  <c r="F142" i="17"/>
  <c r="E142" i="17"/>
  <c r="N141" i="17" s="1"/>
  <c r="D142" i="17"/>
  <c r="C142" i="17"/>
  <c r="F141" i="17"/>
  <c r="E141" i="17"/>
  <c r="N140" i="17" s="1"/>
  <c r="D141" i="17"/>
  <c r="M140" i="17" s="1"/>
  <c r="C141" i="17"/>
  <c r="L140" i="17" s="1"/>
  <c r="F140" i="17"/>
  <c r="E140" i="17"/>
  <c r="N139" i="17" s="1"/>
  <c r="D140" i="17"/>
  <c r="M139" i="17" s="1"/>
  <c r="C140" i="17"/>
  <c r="L139" i="17" s="1"/>
  <c r="F139" i="17"/>
  <c r="E139" i="17"/>
  <c r="D139" i="17"/>
  <c r="C139" i="17"/>
  <c r="F138" i="17"/>
  <c r="E138" i="17"/>
  <c r="D138" i="17"/>
  <c r="C138" i="17"/>
  <c r="F135" i="17"/>
  <c r="E135" i="17"/>
  <c r="D135" i="17"/>
  <c r="C135" i="17"/>
  <c r="F134" i="17"/>
  <c r="E134" i="17"/>
  <c r="D134" i="17"/>
  <c r="C134" i="17"/>
  <c r="F133" i="17"/>
  <c r="E133" i="17"/>
  <c r="D133" i="17"/>
  <c r="C133" i="17"/>
  <c r="F132" i="17"/>
  <c r="E132" i="17"/>
  <c r="D132" i="17"/>
  <c r="C132" i="17"/>
  <c r="F130" i="17"/>
  <c r="E130" i="17"/>
  <c r="D130" i="17"/>
  <c r="C130" i="17"/>
  <c r="F126" i="17"/>
  <c r="E126" i="17"/>
  <c r="D126" i="17"/>
  <c r="C126" i="17"/>
  <c r="M41" i="17"/>
  <c r="L41" i="17"/>
  <c r="K41" i="17"/>
  <c r="J41" i="17"/>
  <c r="I41" i="17"/>
  <c r="H41" i="17"/>
  <c r="G41" i="17"/>
  <c r="F41" i="17"/>
  <c r="E41" i="17"/>
  <c r="D41" i="17"/>
  <c r="M40" i="17"/>
  <c r="L40" i="17"/>
  <c r="K40" i="17"/>
  <c r="J40" i="17"/>
  <c r="I40" i="17"/>
  <c r="H40" i="17"/>
  <c r="G40" i="17"/>
  <c r="F40" i="17"/>
  <c r="E40" i="17"/>
  <c r="D40" i="17"/>
  <c r="M39" i="17"/>
  <c r="L39" i="17"/>
  <c r="K39" i="17"/>
  <c r="J39" i="17"/>
  <c r="I39" i="17"/>
  <c r="H39" i="17"/>
  <c r="G39" i="17"/>
  <c r="F39" i="17"/>
  <c r="E39" i="17"/>
  <c r="D39" i="17"/>
  <c r="M38" i="17"/>
  <c r="L38" i="17"/>
  <c r="K38" i="17"/>
  <c r="J38" i="17"/>
  <c r="I38" i="17"/>
  <c r="H38" i="17"/>
  <c r="G38" i="17"/>
  <c r="F38" i="17"/>
  <c r="E38" i="17"/>
  <c r="D38" i="17"/>
  <c r="M37" i="17"/>
  <c r="L37" i="17"/>
  <c r="K37" i="17"/>
  <c r="J37" i="17"/>
  <c r="P37" i="17" s="1"/>
  <c r="I37" i="17"/>
  <c r="H37" i="17"/>
  <c r="G37" i="17"/>
  <c r="F37" i="17"/>
  <c r="E37" i="17"/>
  <c r="D37" i="17"/>
  <c r="M36" i="17"/>
  <c r="L36" i="17"/>
  <c r="K36" i="17"/>
  <c r="J36" i="17"/>
  <c r="I36" i="17"/>
  <c r="H36" i="17"/>
  <c r="G36" i="17"/>
  <c r="F36" i="17"/>
  <c r="E36" i="17"/>
  <c r="D36" i="17"/>
  <c r="M35" i="17"/>
  <c r="L35" i="17"/>
  <c r="K35" i="17"/>
  <c r="J35" i="17"/>
  <c r="P35" i="17" s="1"/>
  <c r="I35" i="17"/>
  <c r="H35" i="17"/>
  <c r="G35" i="17"/>
  <c r="F35" i="17"/>
  <c r="E35" i="17"/>
  <c r="D35" i="17"/>
  <c r="M34" i="17"/>
  <c r="L34" i="17"/>
  <c r="K34" i="17"/>
  <c r="J34" i="17"/>
  <c r="P34" i="17" s="1"/>
  <c r="I34" i="17"/>
  <c r="H34" i="17"/>
  <c r="G34" i="17"/>
  <c r="F34" i="17"/>
  <c r="E34" i="17"/>
  <c r="D34" i="17"/>
  <c r="O34" i="17" s="1"/>
  <c r="M33" i="17"/>
  <c r="L33" i="17"/>
  <c r="K33" i="17"/>
  <c r="J33" i="17"/>
  <c r="P33" i="17" s="1"/>
  <c r="I33" i="17"/>
  <c r="H33" i="17"/>
  <c r="G33" i="17"/>
  <c r="F33" i="17"/>
  <c r="E33" i="17"/>
  <c r="D33" i="17"/>
  <c r="M32" i="17"/>
  <c r="L32" i="17"/>
  <c r="K32" i="17"/>
  <c r="J32" i="17"/>
  <c r="P32" i="17" s="1"/>
  <c r="I32" i="17"/>
  <c r="H32" i="17"/>
  <c r="G32" i="17"/>
  <c r="F32" i="17"/>
  <c r="E32" i="17"/>
  <c r="D32" i="17"/>
  <c r="O32" i="17" s="1"/>
  <c r="M31" i="17"/>
  <c r="L31" i="17"/>
  <c r="K31" i="17"/>
  <c r="J31" i="17"/>
  <c r="P31" i="17" s="1"/>
  <c r="I31" i="17"/>
  <c r="H31" i="17"/>
  <c r="G31" i="17"/>
  <c r="F31" i="17"/>
  <c r="E31" i="17"/>
  <c r="D31" i="17"/>
  <c r="M30" i="17"/>
  <c r="L30" i="17"/>
  <c r="K30" i="17"/>
  <c r="J30" i="17"/>
  <c r="P30" i="17" s="1"/>
  <c r="I30" i="17"/>
  <c r="H30" i="17"/>
  <c r="G30" i="17"/>
  <c r="F30" i="17"/>
  <c r="E30" i="17"/>
  <c r="D30" i="17"/>
  <c r="O30" i="17" s="1"/>
  <c r="M29" i="17"/>
  <c r="L29" i="17"/>
  <c r="K29" i="17"/>
  <c r="J29" i="17"/>
  <c r="P29" i="17" s="1"/>
  <c r="I29" i="17"/>
  <c r="H29" i="17"/>
  <c r="G29" i="17"/>
  <c r="F29" i="17"/>
  <c r="E29" i="17"/>
  <c r="D29" i="17"/>
  <c r="M28" i="17"/>
  <c r="L28" i="17"/>
  <c r="K28" i="17"/>
  <c r="J28" i="17"/>
  <c r="P28" i="17" s="1"/>
  <c r="I28" i="17"/>
  <c r="H28" i="17"/>
  <c r="G28" i="17"/>
  <c r="F28" i="17"/>
  <c r="E28" i="17"/>
  <c r="D28" i="17"/>
  <c r="O28" i="17" s="1"/>
  <c r="M27" i="17"/>
  <c r="L27" i="17"/>
  <c r="K27" i="17"/>
  <c r="J27" i="17"/>
  <c r="I27" i="17"/>
  <c r="H27" i="17"/>
  <c r="G27" i="17"/>
  <c r="F27" i="17"/>
  <c r="E27" i="17"/>
  <c r="D27" i="17"/>
  <c r="M26" i="17"/>
  <c r="L26" i="17"/>
  <c r="K26" i="17"/>
  <c r="J26" i="17"/>
  <c r="I26" i="17"/>
  <c r="H26" i="17"/>
  <c r="G26" i="17"/>
  <c r="F26" i="17"/>
  <c r="E26" i="17"/>
  <c r="D26" i="17"/>
  <c r="M25" i="17"/>
  <c r="L25" i="17"/>
  <c r="K25" i="17"/>
  <c r="J25" i="17"/>
  <c r="I25" i="17"/>
  <c r="H25" i="17"/>
  <c r="G25" i="17"/>
  <c r="F25" i="17"/>
  <c r="E25" i="17"/>
  <c r="D25" i="17"/>
  <c r="M24" i="17"/>
  <c r="L24" i="17"/>
  <c r="K24" i="17"/>
  <c r="J24" i="17"/>
  <c r="P24" i="17" s="1"/>
  <c r="I24" i="17"/>
  <c r="H24" i="17"/>
  <c r="G24" i="17"/>
  <c r="F24" i="17"/>
  <c r="E24" i="17"/>
  <c r="D24" i="17"/>
  <c r="O24" i="17" s="1"/>
  <c r="M23" i="17"/>
  <c r="L23" i="17"/>
  <c r="K23" i="17"/>
  <c r="J23" i="17"/>
  <c r="P23" i="17" s="1"/>
  <c r="I23" i="17"/>
  <c r="H23" i="17"/>
  <c r="G23" i="17"/>
  <c r="F23" i="17"/>
  <c r="E23" i="17"/>
  <c r="D23" i="17"/>
  <c r="M22" i="17"/>
  <c r="L22" i="17"/>
  <c r="K22" i="17"/>
  <c r="J22" i="17"/>
  <c r="P22" i="17" s="1"/>
  <c r="I22" i="17"/>
  <c r="H22" i="17"/>
  <c r="G22" i="17"/>
  <c r="F22" i="17"/>
  <c r="E22" i="17"/>
  <c r="D22" i="17"/>
  <c r="O22" i="17" s="1"/>
  <c r="M20" i="17"/>
  <c r="L20" i="17"/>
  <c r="K20" i="17"/>
  <c r="J20" i="17"/>
  <c r="P20" i="17" s="1"/>
  <c r="I20" i="17"/>
  <c r="H20" i="17"/>
  <c r="G20" i="17"/>
  <c r="F20" i="17"/>
  <c r="E20" i="17"/>
  <c r="D20" i="17"/>
  <c r="O20" i="17" s="1"/>
  <c r="M16" i="17"/>
  <c r="L16" i="17"/>
  <c r="K16" i="17"/>
  <c r="J16" i="17"/>
  <c r="P16" i="17" s="1"/>
  <c r="I16" i="17"/>
  <c r="H16" i="17"/>
  <c r="G16" i="17"/>
  <c r="F16" i="17"/>
  <c r="E16" i="17"/>
  <c r="D16" i="17"/>
  <c r="O16" i="17" s="1"/>
  <c r="M8" i="17"/>
  <c r="L8" i="17"/>
  <c r="K8" i="17"/>
  <c r="J8" i="17"/>
  <c r="P8" i="17" s="1"/>
  <c r="I8" i="17"/>
  <c r="H8" i="17"/>
  <c r="G8" i="17"/>
  <c r="F8" i="17"/>
  <c r="E8" i="17"/>
  <c r="D8" i="17"/>
  <c r="O8" i="17" s="1"/>
  <c r="M141" i="17"/>
  <c r="L141" i="17"/>
  <c r="N138" i="17"/>
  <c r="M138" i="17"/>
  <c r="L138" i="17"/>
  <c r="B114" i="17"/>
  <c r="S89" i="17" s="1"/>
  <c r="F114" i="17" s="1"/>
  <c r="B152" i="17" s="1"/>
  <c r="F76" i="17"/>
  <c r="P41" i="17"/>
  <c r="O41" i="17"/>
  <c r="P40" i="17"/>
  <c r="O40" i="17"/>
  <c r="P39" i="17"/>
  <c r="O39" i="17"/>
  <c r="P38" i="17"/>
  <c r="O38" i="17"/>
  <c r="K48" i="17"/>
  <c r="B62" i="17"/>
  <c r="A49" i="17"/>
  <c r="P21" i="17"/>
  <c r="A48" i="17"/>
  <c r="P19" i="17"/>
  <c r="O19" i="17"/>
  <c r="O18" i="17"/>
  <c r="P17" i="17"/>
  <c r="O17" i="17"/>
  <c r="P15" i="17"/>
  <c r="O15" i="17"/>
  <c r="O14" i="17"/>
  <c r="P13" i="17"/>
  <c r="O13" i="17"/>
  <c r="O12" i="17"/>
  <c r="P12" i="17"/>
  <c r="P11" i="17"/>
  <c r="O11" i="17"/>
  <c r="O10" i="17"/>
  <c r="P9" i="17"/>
  <c r="O9" i="17"/>
  <c r="P7" i="17"/>
  <c r="O7" i="17"/>
  <c r="O6" i="17"/>
  <c r="P5" i="17"/>
  <c r="O5" i="17"/>
  <c r="O4" i="17"/>
  <c r="P4" i="17"/>
  <c r="P3" i="17"/>
  <c r="O3" i="17"/>
  <c r="O2" i="17"/>
  <c r="P42" i="17"/>
  <c r="P89" i="17" s="1"/>
  <c r="P152" i="17" s="1"/>
  <c r="K62" i="17"/>
  <c r="F142" i="16"/>
  <c r="D142" i="16"/>
  <c r="M141" i="16" s="1"/>
  <c r="F141" i="16"/>
  <c r="D141" i="16"/>
  <c r="M140" i="16" s="1"/>
  <c r="F140" i="16"/>
  <c r="D140" i="16"/>
  <c r="M139" i="16" s="1"/>
  <c r="F139" i="16"/>
  <c r="D139" i="16"/>
  <c r="F138" i="16"/>
  <c r="D138" i="16"/>
  <c r="F135" i="16"/>
  <c r="D135" i="16"/>
  <c r="F134" i="16"/>
  <c r="D134" i="16"/>
  <c r="F133" i="16"/>
  <c r="D133" i="16"/>
  <c r="F132" i="16"/>
  <c r="D132" i="16"/>
  <c r="F130" i="16"/>
  <c r="D130" i="16"/>
  <c r="F126" i="16"/>
  <c r="D126" i="16"/>
  <c r="M41" i="16"/>
  <c r="L41" i="16"/>
  <c r="K41" i="16"/>
  <c r="J41" i="16"/>
  <c r="I41" i="16"/>
  <c r="H41" i="16"/>
  <c r="G41" i="16"/>
  <c r="F41" i="16"/>
  <c r="E41" i="16"/>
  <c r="D41" i="16"/>
  <c r="K40" i="16"/>
  <c r="J40" i="16"/>
  <c r="I40" i="16"/>
  <c r="H40" i="16"/>
  <c r="G40" i="16"/>
  <c r="F40" i="16"/>
  <c r="E40" i="16"/>
  <c r="D40" i="16"/>
  <c r="E39" i="16"/>
  <c r="D39" i="16"/>
  <c r="M38" i="16"/>
  <c r="L38" i="16"/>
  <c r="K38" i="16"/>
  <c r="J38" i="16"/>
  <c r="I38" i="16"/>
  <c r="H38" i="16"/>
  <c r="G38" i="16"/>
  <c r="F38" i="16"/>
  <c r="E38" i="16"/>
  <c r="D38" i="16"/>
  <c r="M37" i="16"/>
  <c r="L37" i="16"/>
  <c r="K37" i="16"/>
  <c r="J37" i="16"/>
  <c r="P37" i="16" s="1"/>
  <c r="I37" i="16"/>
  <c r="H37" i="16"/>
  <c r="G37" i="16"/>
  <c r="F37" i="16"/>
  <c r="E37" i="16"/>
  <c r="D37" i="16"/>
  <c r="M36" i="16"/>
  <c r="L36" i="16"/>
  <c r="K36" i="16"/>
  <c r="J36" i="16"/>
  <c r="I36" i="16"/>
  <c r="H36" i="16"/>
  <c r="G36" i="16"/>
  <c r="F36" i="16"/>
  <c r="E36" i="16"/>
  <c r="D36" i="16"/>
  <c r="M35" i="16"/>
  <c r="L35" i="16"/>
  <c r="K35" i="16"/>
  <c r="J35" i="16"/>
  <c r="P35" i="16" s="1"/>
  <c r="I35" i="16"/>
  <c r="H35" i="16"/>
  <c r="G35" i="16"/>
  <c r="F35" i="16"/>
  <c r="E35" i="16"/>
  <c r="D35" i="16"/>
  <c r="M34" i="16"/>
  <c r="L34" i="16"/>
  <c r="K34" i="16"/>
  <c r="J34" i="16"/>
  <c r="P34" i="16" s="1"/>
  <c r="I34" i="16"/>
  <c r="H34" i="16"/>
  <c r="G34" i="16"/>
  <c r="F34" i="16"/>
  <c r="E34" i="16"/>
  <c r="D34" i="16"/>
  <c r="O34" i="16" s="1"/>
  <c r="M33" i="16"/>
  <c r="L33" i="16"/>
  <c r="K33" i="16"/>
  <c r="J33" i="16"/>
  <c r="P33" i="16" s="1"/>
  <c r="I33" i="16"/>
  <c r="H33" i="16"/>
  <c r="G33" i="16"/>
  <c r="F33" i="16"/>
  <c r="E33" i="16"/>
  <c r="D33" i="16"/>
  <c r="L32" i="16"/>
  <c r="K32" i="16"/>
  <c r="J32" i="16"/>
  <c r="P32" i="16" s="1"/>
  <c r="I32" i="16"/>
  <c r="H32" i="16"/>
  <c r="G32" i="16"/>
  <c r="F32" i="16"/>
  <c r="E32" i="16"/>
  <c r="D32" i="16"/>
  <c r="O32" i="16" s="1"/>
  <c r="M31" i="16"/>
  <c r="L31" i="16"/>
  <c r="K31" i="16"/>
  <c r="J31" i="16"/>
  <c r="P31" i="16" s="1"/>
  <c r="I31" i="16"/>
  <c r="H31" i="16"/>
  <c r="G31" i="16"/>
  <c r="F31" i="16"/>
  <c r="E31" i="16"/>
  <c r="D31" i="16"/>
  <c r="M30" i="16"/>
  <c r="L30" i="16"/>
  <c r="K30" i="16"/>
  <c r="J30" i="16"/>
  <c r="P30" i="16" s="1"/>
  <c r="I30" i="16"/>
  <c r="H30" i="16"/>
  <c r="G30" i="16"/>
  <c r="F30" i="16"/>
  <c r="E30" i="16"/>
  <c r="D30" i="16"/>
  <c r="O30" i="16" s="1"/>
  <c r="M29" i="16"/>
  <c r="L29" i="16"/>
  <c r="K29" i="16"/>
  <c r="J29" i="16"/>
  <c r="P29" i="16" s="1"/>
  <c r="I29" i="16"/>
  <c r="H29" i="16"/>
  <c r="G29" i="16"/>
  <c r="F29" i="16"/>
  <c r="E29" i="16"/>
  <c r="D29" i="16"/>
  <c r="L28" i="16"/>
  <c r="K28" i="16"/>
  <c r="J28" i="16"/>
  <c r="P28" i="16" s="1"/>
  <c r="I28" i="16"/>
  <c r="H28" i="16"/>
  <c r="G28" i="16"/>
  <c r="F28" i="16"/>
  <c r="E28" i="16"/>
  <c r="D28" i="16"/>
  <c r="O28" i="16" s="1"/>
  <c r="M27" i="16"/>
  <c r="L27" i="16"/>
  <c r="K27" i="16"/>
  <c r="J27" i="16"/>
  <c r="I27" i="16"/>
  <c r="H27" i="16"/>
  <c r="G27" i="16"/>
  <c r="F27" i="16"/>
  <c r="E27" i="16"/>
  <c r="D27" i="16"/>
  <c r="M26" i="16"/>
  <c r="L26" i="16"/>
  <c r="K26" i="16"/>
  <c r="J26" i="16"/>
  <c r="I26" i="16"/>
  <c r="H26" i="16"/>
  <c r="G26" i="16"/>
  <c r="F26" i="16"/>
  <c r="E26" i="16"/>
  <c r="D26" i="16"/>
  <c r="M25" i="16"/>
  <c r="L25" i="16"/>
  <c r="K25" i="16"/>
  <c r="J25" i="16"/>
  <c r="I25" i="16"/>
  <c r="H25" i="16"/>
  <c r="G25" i="16"/>
  <c r="F25" i="16"/>
  <c r="E25" i="16"/>
  <c r="D25" i="16"/>
  <c r="M24" i="16"/>
  <c r="L24" i="16"/>
  <c r="K24" i="16"/>
  <c r="J24" i="16"/>
  <c r="P24" i="16" s="1"/>
  <c r="I24" i="16"/>
  <c r="H24" i="16"/>
  <c r="G24" i="16"/>
  <c r="F24" i="16"/>
  <c r="E24" i="16"/>
  <c r="D24" i="16"/>
  <c r="O24" i="16" s="1"/>
  <c r="M23" i="16"/>
  <c r="L23" i="16"/>
  <c r="K23" i="16"/>
  <c r="J23" i="16"/>
  <c r="P23" i="16" s="1"/>
  <c r="I23" i="16"/>
  <c r="H23" i="16"/>
  <c r="G23" i="16"/>
  <c r="F23" i="16"/>
  <c r="E23" i="16"/>
  <c r="D23" i="16"/>
  <c r="M22" i="16"/>
  <c r="L22" i="16"/>
  <c r="K22" i="16"/>
  <c r="J22" i="16"/>
  <c r="P22" i="16" s="1"/>
  <c r="I22" i="16"/>
  <c r="H22" i="16"/>
  <c r="G22" i="16"/>
  <c r="F22" i="16"/>
  <c r="E22" i="16"/>
  <c r="D22" i="16"/>
  <c r="O22" i="16" s="1"/>
  <c r="M20" i="16"/>
  <c r="L20" i="16"/>
  <c r="K20" i="16"/>
  <c r="J20" i="16"/>
  <c r="P20" i="16" s="1"/>
  <c r="I20" i="16"/>
  <c r="H20" i="16"/>
  <c r="G20" i="16"/>
  <c r="F20" i="16"/>
  <c r="E20" i="16"/>
  <c r="D20" i="16"/>
  <c r="O20" i="16" s="1"/>
  <c r="M16" i="16"/>
  <c r="L16" i="16"/>
  <c r="K16" i="16"/>
  <c r="J16" i="16"/>
  <c r="P16" i="16" s="1"/>
  <c r="I16" i="16"/>
  <c r="H16" i="16"/>
  <c r="G16" i="16"/>
  <c r="F16" i="16"/>
  <c r="E16" i="16"/>
  <c r="D16" i="16"/>
  <c r="M8" i="16"/>
  <c r="L8" i="16"/>
  <c r="K8" i="16"/>
  <c r="J8" i="16"/>
  <c r="P8" i="16" s="1"/>
  <c r="I8" i="16"/>
  <c r="H8" i="16"/>
  <c r="G8" i="16"/>
  <c r="F8" i="16"/>
  <c r="E8" i="16"/>
  <c r="D8" i="16"/>
  <c r="L141" i="16"/>
  <c r="N141" i="16"/>
  <c r="N140" i="16"/>
  <c r="L140" i="16"/>
  <c r="N139" i="16"/>
  <c r="L139" i="16"/>
  <c r="L142" i="16" s="1"/>
  <c r="N138" i="16"/>
  <c r="M138" i="16"/>
  <c r="L138" i="16"/>
  <c r="B114" i="16"/>
  <c r="B89" i="16" s="1"/>
  <c r="B42" i="16" s="1"/>
  <c r="A76" i="16"/>
  <c r="K62" i="16"/>
  <c r="F62" i="16"/>
  <c r="P41" i="16"/>
  <c r="O41" i="16"/>
  <c r="P40" i="16"/>
  <c r="O40" i="16"/>
  <c r="P39" i="16"/>
  <c r="O39" i="16"/>
  <c r="P38" i="16"/>
  <c r="O38" i="16"/>
  <c r="K48" i="16"/>
  <c r="B62" i="16"/>
  <c r="A49" i="16"/>
  <c r="P21" i="16"/>
  <c r="A48" i="16"/>
  <c r="P19" i="16"/>
  <c r="O19" i="16"/>
  <c r="O18" i="16"/>
  <c r="P18" i="16"/>
  <c r="P17" i="16"/>
  <c r="O17" i="16"/>
  <c r="P15" i="16"/>
  <c r="O15" i="16"/>
  <c r="O14" i="16"/>
  <c r="P14" i="16"/>
  <c r="P13" i="16"/>
  <c r="O13" i="16"/>
  <c r="P12" i="16"/>
  <c r="P11" i="16"/>
  <c r="O11" i="16"/>
  <c r="O10" i="16"/>
  <c r="P9" i="16"/>
  <c r="O9" i="16"/>
  <c r="P7" i="16"/>
  <c r="O7" i="16"/>
  <c r="O6" i="16"/>
  <c r="P6" i="16"/>
  <c r="P5" i="16"/>
  <c r="O5" i="16"/>
  <c r="P4" i="16"/>
  <c r="P3" i="16"/>
  <c r="O2" i="16"/>
  <c r="P2" i="16"/>
  <c r="P42" i="16"/>
  <c r="P89" i="16" s="1"/>
  <c r="P152" i="16" s="1"/>
  <c r="F76" i="16"/>
  <c r="F142" i="15"/>
  <c r="F141" i="15"/>
  <c r="F140" i="15"/>
  <c r="F139" i="15"/>
  <c r="F138" i="15"/>
  <c r="F135" i="15"/>
  <c r="F134" i="15"/>
  <c r="F133" i="15"/>
  <c r="F132" i="15"/>
  <c r="F130" i="15"/>
  <c r="F126" i="15"/>
  <c r="L41" i="15"/>
  <c r="J41" i="15"/>
  <c r="I41" i="15"/>
  <c r="H41" i="15"/>
  <c r="G41" i="15"/>
  <c r="F41" i="15"/>
  <c r="E41" i="15"/>
  <c r="D41" i="15"/>
  <c r="J40" i="15"/>
  <c r="I40" i="15"/>
  <c r="H40" i="15"/>
  <c r="G40" i="15"/>
  <c r="L39" i="15"/>
  <c r="J39" i="15"/>
  <c r="I39" i="15"/>
  <c r="H39" i="15"/>
  <c r="G39" i="15"/>
  <c r="F39" i="15"/>
  <c r="E39" i="15"/>
  <c r="D39" i="15"/>
  <c r="J38" i="15"/>
  <c r="I38" i="15"/>
  <c r="H38" i="15"/>
  <c r="G38" i="15"/>
  <c r="F38" i="15"/>
  <c r="E38" i="15"/>
  <c r="D38" i="15"/>
  <c r="M37" i="15"/>
  <c r="L37" i="15"/>
  <c r="K37" i="15"/>
  <c r="J37" i="15"/>
  <c r="P37" i="15" s="1"/>
  <c r="I37" i="15"/>
  <c r="H37" i="15"/>
  <c r="G37" i="15"/>
  <c r="F37" i="15"/>
  <c r="E37" i="15"/>
  <c r="D37" i="15"/>
  <c r="O37" i="15" s="1"/>
  <c r="M36" i="15"/>
  <c r="L36" i="15"/>
  <c r="K36" i="15"/>
  <c r="J36" i="15"/>
  <c r="I36" i="15"/>
  <c r="H36" i="15"/>
  <c r="G36" i="15"/>
  <c r="F36" i="15"/>
  <c r="E36" i="15"/>
  <c r="D36" i="15"/>
  <c r="M35" i="15"/>
  <c r="L35" i="15"/>
  <c r="K35" i="15"/>
  <c r="J35" i="15"/>
  <c r="P35" i="15" s="1"/>
  <c r="I35" i="15"/>
  <c r="H35" i="15"/>
  <c r="G35" i="15"/>
  <c r="F35" i="15"/>
  <c r="E35" i="15"/>
  <c r="D35" i="15"/>
  <c r="O35" i="15" s="1"/>
  <c r="M34" i="15"/>
  <c r="L34" i="15"/>
  <c r="K34" i="15"/>
  <c r="J34" i="15"/>
  <c r="P34" i="15" s="1"/>
  <c r="I34" i="15"/>
  <c r="H34" i="15"/>
  <c r="G34" i="15"/>
  <c r="F34" i="15"/>
  <c r="E34" i="15"/>
  <c r="D34" i="15"/>
  <c r="M33" i="15"/>
  <c r="L33" i="15"/>
  <c r="K33" i="15"/>
  <c r="J33" i="15"/>
  <c r="P33" i="15" s="1"/>
  <c r="I33" i="15"/>
  <c r="H33" i="15"/>
  <c r="G33" i="15"/>
  <c r="F33" i="15"/>
  <c r="E33" i="15"/>
  <c r="D33" i="15"/>
  <c r="O33" i="15" s="1"/>
  <c r="M32" i="15"/>
  <c r="L32" i="15"/>
  <c r="K32" i="15"/>
  <c r="J32" i="15"/>
  <c r="P32" i="15" s="1"/>
  <c r="I32" i="15"/>
  <c r="H32" i="15"/>
  <c r="G32" i="15"/>
  <c r="F32" i="15"/>
  <c r="E32" i="15"/>
  <c r="D32" i="15"/>
  <c r="O32" i="15" s="1"/>
  <c r="M31" i="15"/>
  <c r="L31" i="15"/>
  <c r="K31" i="15"/>
  <c r="J31" i="15"/>
  <c r="P31" i="15" s="1"/>
  <c r="I31" i="15"/>
  <c r="H31" i="15"/>
  <c r="G31" i="15"/>
  <c r="F31" i="15"/>
  <c r="E31" i="15"/>
  <c r="D31" i="15"/>
  <c r="O31" i="15" s="1"/>
  <c r="M30" i="15"/>
  <c r="L30" i="15"/>
  <c r="K30" i="15"/>
  <c r="J30" i="15"/>
  <c r="P30" i="15" s="1"/>
  <c r="I30" i="15"/>
  <c r="H30" i="15"/>
  <c r="G30" i="15"/>
  <c r="F30" i="15"/>
  <c r="E30" i="15"/>
  <c r="D30" i="15"/>
  <c r="M29" i="15"/>
  <c r="L29" i="15"/>
  <c r="K29" i="15"/>
  <c r="J29" i="15"/>
  <c r="P29" i="15" s="1"/>
  <c r="I29" i="15"/>
  <c r="H29" i="15"/>
  <c r="G29" i="15"/>
  <c r="F29" i="15"/>
  <c r="E29" i="15"/>
  <c r="D29" i="15"/>
  <c r="O29" i="15" s="1"/>
  <c r="M28" i="15"/>
  <c r="L28" i="15"/>
  <c r="K28" i="15"/>
  <c r="J28" i="15"/>
  <c r="P28" i="15" s="1"/>
  <c r="I28" i="15"/>
  <c r="H28" i="15"/>
  <c r="G28" i="15"/>
  <c r="F28" i="15"/>
  <c r="E28" i="15"/>
  <c r="D28" i="15"/>
  <c r="O28" i="15" s="1"/>
  <c r="M27" i="15"/>
  <c r="L27" i="15"/>
  <c r="K27" i="15"/>
  <c r="J27" i="15"/>
  <c r="P27" i="15" s="1"/>
  <c r="I27" i="15"/>
  <c r="H27" i="15"/>
  <c r="G27" i="15"/>
  <c r="F27" i="15"/>
  <c r="E27" i="15"/>
  <c r="D27" i="15"/>
  <c r="M26" i="15"/>
  <c r="L26" i="15"/>
  <c r="K26" i="15"/>
  <c r="J26" i="15"/>
  <c r="I26" i="15"/>
  <c r="H26" i="15"/>
  <c r="G26" i="15"/>
  <c r="F26" i="15"/>
  <c r="E26" i="15"/>
  <c r="D26" i="15"/>
  <c r="M25" i="15"/>
  <c r="L25" i="15"/>
  <c r="K25" i="15"/>
  <c r="J25" i="15"/>
  <c r="I25" i="15"/>
  <c r="H25" i="15"/>
  <c r="G25" i="15"/>
  <c r="F25" i="15"/>
  <c r="E25" i="15"/>
  <c r="D25" i="15"/>
  <c r="M24" i="15"/>
  <c r="L24" i="15"/>
  <c r="K24" i="15"/>
  <c r="J24" i="15"/>
  <c r="P24" i="15" s="1"/>
  <c r="I24" i="15"/>
  <c r="H24" i="15"/>
  <c r="G24" i="15"/>
  <c r="F24" i="15"/>
  <c r="E24" i="15"/>
  <c r="D24" i="15"/>
  <c r="O24" i="15" s="1"/>
  <c r="M23" i="15"/>
  <c r="L23" i="15"/>
  <c r="K23" i="15"/>
  <c r="J23" i="15"/>
  <c r="P23" i="15" s="1"/>
  <c r="I23" i="15"/>
  <c r="H23" i="15"/>
  <c r="G23" i="15"/>
  <c r="F23" i="15"/>
  <c r="E23" i="15"/>
  <c r="D23" i="15"/>
  <c r="O23" i="15" s="1"/>
  <c r="M22" i="15"/>
  <c r="L22" i="15"/>
  <c r="K22" i="15"/>
  <c r="J22" i="15"/>
  <c r="P22" i="15" s="1"/>
  <c r="I22" i="15"/>
  <c r="H22" i="15"/>
  <c r="G22" i="15"/>
  <c r="F22" i="15"/>
  <c r="E22" i="15"/>
  <c r="D22" i="15"/>
  <c r="M20" i="15"/>
  <c r="L20" i="15"/>
  <c r="K20" i="15"/>
  <c r="J20" i="15"/>
  <c r="P20" i="15" s="1"/>
  <c r="I20" i="15"/>
  <c r="H20" i="15"/>
  <c r="G20" i="15"/>
  <c r="F20" i="15"/>
  <c r="E20" i="15"/>
  <c r="D20" i="15"/>
  <c r="O20" i="15" s="1"/>
  <c r="M16" i="15"/>
  <c r="L16" i="15"/>
  <c r="K16" i="15"/>
  <c r="J16" i="15"/>
  <c r="P16" i="15" s="1"/>
  <c r="I16" i="15"/>
  <c r="H16" i="15"/>
  <c r="G16" i="15"/>
  <c r="F16" i="15"/>
  <c r="E16" i="15"/>
  <c r="D16" i="15"/>
  <c r="O16" i="15" s="1"/>
  <c r="M8" i="15"/>
  <c r="L8" i="15"/>
  <c r="K8" i="15"/>
  <c r="J8" i="15"/>
  <c r="P8" i="15" s="1"/>
  <c r="I8" i="15"/>
  <c r="H8" i="15"/>
  <c r="G8" i="15"/>
  <c r="F8" i="15"/>
  <c r="E8" i="15"/>
  <c r="D8" i="15"/>
  <c r="O8" i="15" s="1"/>
  <c r="N141" i="15"/>
  <c r="L141" i="15"/>
  <c r="M141" i="15"/>
  <c r="M140" i="15"/>
  <c r="N140" i="15"/>
  <c r="L140" i="15"/>
  <c r="N139" i="15"/>
  <c r="M139" i="15"/>
  <c r="L139" i="15"/>
  <c r="N138" i="15"/>
  <c r="M138" i="15"/>
  <c r="L138" i="15"/>
  <c r="B114" i="15"/>
  <c r="S89" i="15" s="1"/>
  <c r="F114" i="15" s="1"/>
  <c r="B152" i="15" s="1"/>
  <c r="A50" i="15"/>
  <c r="P41" i="15"/>
  <c r="O41" i="15"/>
  <c r="P40" i="15"/>
  <c r="O40" i="15"/>
  <c r="P39" i="15"/>
  <c r="O39" i="15"/>
  <c r="P38" i="15"/>
  <c r="O38" i="15"/>
  <c r="K48" i="15"/>
  <c r="B62" i="15"/>
  <c r="A49" i="15"/>
  <c r="O21" i="15"/>
  <c r="P21" i="15"/>
  <c r="A48" i="15"/>
  <c r="O19" i="15"/>
  <c r="P19" i="15"/>
  <c r="P18" i="15"/>
  <c r="O18" i="15"/>
  <c r="P17" i="15"/>
  <c r="O15" i="15"/>
  <c r="P15" i="15"/>
  <c r="P14" i="15"/>
  <c r="O14" i="15"/>
  <c r="P13" i="15"/>
  <c r="P12" i="15"/>
  <c r="O12" i="15"/>
  <c r="O11" i="15"/>
  <c r="P11" i="15"/>
  <c r="P10" i="15"/>
  <c r="O10" i="15"/>
  <c r="P9" i="15"/>
  <c r="O7" i="15"/>
  <c r="P7" i="15"/>
  <c r="P6" i="15"/>
  <c r="O6" i="15"/>
  <c r="P5" i="15"/>
  <c r="P4" i="15"/>
  <c r="O4" i="15"/>
  <c r="O3" i="15"/>
  <c r="P3" i="15"/>
  <c r="P2" i="15"/>
  <c r="O2" i="15"/>
  <c r="P42" i="15"/>
  <c r="P89" i="15" s="1"/>
  <c r="P152" i="15" s="1"/>
  <c r="F76" i="15"/>
  <c r="F142" i="13"/>
  <c r="E142" i="13"/>
  <c r="N141" i="13" s="1"/>
  <c r="D142" i="13"/>
  <c r="C142" i="13"/>
  <c r="L141" i="13" s="1"/>
  <c r="F141" i="13"/>
  <c r="E141" i="13"/>
  <c r="N140" i="13" s="1"/>
  <c r="D141" i="13"/>
  <c r="M140" i="13" s="1"/>
  <c r="C141" i="13"/>
  <c r="L140" i="13" s="1"/>
  <c r="F140" i="13"/>
  <c r="E140" i="13"/>
  <c r="N139" i="13" s="1"/>
  <c r="D140" i="13"/>
  <c r="M139" i="13" s="1"/>
  <c r="C140" i="13"/>
  <c r="L139" i="13" s="1"/>
  <c r="F139" i="13"/>
  <c r="E139" i="13"/>
  <c r="D139" i="13"/>
  <c r="C139" i="13"/>
  <c r="F138" i="13"/>
  <c r="E138" i="13"/>
  <c r="D138" i="13"/>
  <c r="C138" i="13"/>
  <c r="F135" i="13"/>
  <c r="E135" i="13"/>
  <c r="D135" i="13"/>
  <c r="C135" i="13"/>
  <c r="F134" i="13"/>
  <c r="E134" i="13"/>
  <c r="D134" i="13"/>
  <c r="C134" i="13"/>
  <c r="F133" i="13"/>
  <c r="E133" i="13"/>
  <c r="D133" i="13"/>
  <c r="C133" i="13"/>
  <c r="F132" i="13"/>
  <c r="E132" i="13"/>
  <c r="D132" i="13"/>
  <c r="C132" i="13"/>
  <c r="F130" i="13"/>
  <c r="E130" i="13"/>
  <c r="D130" i="13"/>
  <c r="C130" i="13"/>
  <c r="F126" i="13"/>
  <c r="E126" i="13"/>
  <c r="D126" i="13"/>
  <c r="C126" i="13"/>
  <c r="M41" i="13"/>
  <c r="L41" i="13"/>
  <c r="K41" i="13"/>
  <c r="J41" i="13"/>
  <c r="I41" i="13"/>
  <c r="H41" i="13"/>
  <c r="G41" i="13"/>
  <c r="F41" i="13"/>
  <c r="E41" i="13"/>
  <c r="D41" i="13"/>
  <c r="M40" i="13"/>
  <c r="H40" i="13"/>
  <c r="F40" i="13"/>
  <c r="E40" i="13"/>
  <c r="I39" i="13"/>
  <c r="H39" i="13"/>
  <c r="F39" i="13"/>
  <c r="M38" i="13"/>
  <c r="L38" i="13"/>
  <c r="K38" i="13"/>
  <c r="J38" i="13"/>
  <c r="I38" i="13"/>
  <c r="H38" i="13"/>
  <c r="G38" i="13"/>
  <c r="F38" i="13"/>
  <c r="E38" i="13"/>
  <c r="D38" i="13"/>
  <c r="M37" i="13"/>
  <c r="L37" i="13"/>
  <c r="K37" i="13"/>
  <c r="J37" i="13"/>
  <c r="P37" i="13" s="1"/>
  <c r="I37" i="13"/>
  <c r="H37" i="13"/>
  <c r="F37" i="13"/>
  <c r="E37" i="13"/>
  <c r="D37" i="13"/>
  <c r="M36" i="13"/>
  <c r="L36" i="13"/>
  <c r="K36" i="13"/>
  <c r="J36" i="13"/>
  <c r="I36" i="13"/>
  <c r="H36" i="13"/>
  <c r="G36" i="13"/>
  <c r="F36" i="13"/>
  <c r="E36" i="13"/>
  <c r="D36" i="13"/>
  <c r="M35" i="13"/>
  <c r="L35" i="13"/>
  <c r="K35" i="13"/>
  <c r="J35" i="13"/>
  <c r="P35" i="13" s="1"/>
  <c r="I35" i="13"/>
  <c r="H35" i="13"/>
  <c r="G35" i="13"/>
  <c r="F35" i="13"/>
  <c r="E35" i="13"/>
  <c r="D35" i="13"/>
  <c r="O35" i="13" s="1"/>
  <c r="M34" i="13"/>
  <c r="L34" i="13"/>
  <c r="K34" i="13"/>
  <c r="J34" i="13"/>
  <c r="P34" i="13" s="1"/>
  <c r="I34" i="13"/>
  <c r="H34" i="13"/>
  <c r="G34" i="13"/>
  <c r="F34" i="13"/>
  <c r="E34" i="13"/>
  <c r="D34" i="13"/>
  <c r="O34" i="13" s="1"/>
  <c r="M33" i="13"/>
  <c r="L33" i="13"/>
  <c r="K33" i="13"/>
  <c r="J33" i="13"/>
  <c r="P33" i="13" s="1"/>
  <c r="I33" i="13"/>
  <c r="H33" i="13"/>
  <c r="G33" i="13"/>
  <c r="F33" i="13"/>
  <c r="E33" i="13"/>
  <c r="D33" i="13"/>
  <c r="M32" i="13"/>
  <c r="L32" i="13"/>
  <c r="K32" i="13"/>
  <c r="J32" i="13"/>
  <c r="P32" i="13" s="1"/>
  <c r="I32" i="13"/>
  <c r="H32" i="13"/>
  <c r="G32" i="13"/>
  <c r="F32" i="13"/>
  <c r="E32" i="13"/>
  <c r="D32" i="13"/>
  <c r="O32" i="13" s="1"/>
  <c r="M31" i="13"/>
  <c r="L31" i="13"/>
  <c r="K31" i="13"/>
  <c r="J31" i="13"/>
  <c r="P31" i="13" s="1"/>
  <c r="I31" i="13"/>
  <c r="H31" i="13"/>
  <c r="G31" i="13"/>
  <c r="F31" i="13"/>
  <c r="E31" i="13"/>
  <c r="D31" i="13"/>
  <c r="O31" i="13" s="1"/>
  <c r="M30" i="13"/>
  <c r="L30" i="13"/>
  <c r="K30" i="13"/>
  <c r="J30" i="13"/>
  <c r="P30" i="13" s="1"/>
  <c r="I30" i="13"/>
  <c r="H30" i="13"/>
  <c r="G30" i="13"/>
  <c r="F30" i="13"/>
  <c r="E30" i="13"/>
  <c r="D30" i="13"/>
  <c r="O30" i="13" s="1"/>
  <c r="M29" i="13"/>
  <c r="L29" i="13"/>
  <c r="K29" i="13"/>
  <c r="J29" i="13"/>
  <c r="P29" i="13" s="1"/>
  <c r="I29" i="13"/>
  <c r="H29" i="13"/>
  <c r="G29" i="13"/>
  <c r="F29" i="13"/>
  <c r="E29" i="13"/>
  <c r="D29" i="13"/>
  <c r="M28" i="13"/>
  <c r="L28" i="13"/>
  <c r="K28" i="13"/>
  <c r="J28" i="13"/>
  <c r="P28" i="13" s="1"/>
  <c r="I28" i="13"/>
  <c r="H28" i="13"/>
  <c r="G28" i="13"/>
  <c r="F28" i="13"/>
  <c r="E28" i="13"/>
  <c r="M27" i="13"/>
  <c r="L27" i="13"/>
  <c r="K27" i="13"/>
  <c r="J27" i="13"/>
  <c r="P27" i="13" s="1"/>
  <c r="I27" i="13"/>
  <c r="H27" i="13"/>
  <c r="G27" i="13"/>
  <c r="F27" i="13"/>
  <c r="E27" i="13"/>
  <c r="D27" i="13"/>
  <c r="O27" i="13" s="1"/>
  <c r="M26" i="13"/>
  <c r="L26" i="13"/>
  <c r="K26" i="13"/>
  <c r="J26" i="13"/>
  <c r="I26" i="13"/>
  <c r="H26" i="13"/>
  <c r="F26" i="13"/>
  <c r="E26" i="13"/>
  <c r="D26" i="13"/>
  <c r="M25" i="13"/>
  <c r="L25" i="13"/>
  <c r="K25" i="13"/>
  <c r="J25" i="13"/>
  <c r="I25" i="13"/>
  <c r="H25" i="13"/>
  <c r="G25" i="13"/>
  <c r="F25" i="13"/>
  <c r="E25" i="13"/>
  <c r="D25" i="13"/>
  <c r="M24" i="13"/>
  <c r="L24" i="13"/>
  <c r="K24" i="13"/>
  <c r="J24" i="13"/>
  <c r="P24" i="13" s="1"/>
  <c r="I24" i="13"/>
  <c r="H24" i="13"/>
  <c r="G24" i="13"/>
  <c r="F24" i="13"/>
  <c r="E24" i="13"/>
  <c r="D24" i="13"/>
  <c r="O24" i="13" s="1"/>
  <c r="M23" i="13"/>
  <c r="L23" i="13"/>
  <c r="K23" i="13"/>
  <c r="J23" i="13"/>
  <c r="P23" i="13" s="1"/>
  <c r="I23" i="13"/>
  <c r="H23" i="13"/>
  <c r="G23" i="13"/>
  <c r="F23" i="13"/>
  <c r="E23" i="13"/>
  <c r="D23" i="13"/>
  <c r="O23" i="13" s="1"/>
  <c r="M22" i="13"/>
  <c r="L22" i="13"/>
  <c r="K22" i="13"/>
  <c r="J22" i="13"/>
  <c r="P22" i="13" s="1"/>
  <c r="I22" i="13"/>
  <c r="H22" i="13"/>
  <c r="G22" i="13"/>
  <c r="F22" i="13"/>
  <c r="E22" i="13"/>
  <c r="D22" i="13"/>
  <c r="O22" i="13" s="1"/>
  <c r="M20" i="13"/>
  <c r="L20" i="13"/>
  <c r="K20" i="13"/>
  <c r="J20" i="13"/>
  <c r="P20" i="13" s="1"/>
  <c r="I20" i="13"/>
  <c r="H20" i="13"/>
  <c r="G20" i="13"/>
  <c r="F20" i="13"/>
  <c r="E20" i="13"/>
  <c r="D20" i="13"/>
  <c r="O20" i="13" s="1"/>
  <c r="M16" i="13"/>
  <c r="L16" i="13"/>
  <c r="K16" i="13"/>
  <c r="J16" i="13"/>
  <c r="P16" i="13" s="1"/>
  <c r="I16" i="13"/>
  <c r="H16" i="13"/>
  <c r="G16" i="13"/>
  <c r="F16" i="13"/>
  <c r="E16" i="13"/>
  <c r="D16" i="13"/>
  <c r="O16" i="13" s="1"/>
  <c r="M8" i="13"/>
  <c r="L8" i="13"/>
  <c r="K8" i="13"/>
  <c r="J8" i="13"/>
  <c r="P8" i="13" s="1"/>
  <c r="I8" i="13"/>
  <c r="H8" i="13"/>
  <c r="G8" i="13"/>
  <c r="F8" i="13"/>
  <c r="E8" i="13"/>
  <c r="D8" i="13"/>
  <c r="O8" i="13" s="1"/>
  <c r="M141" i="13"/>
  <c r="N138" i="13"/>
  <c r="M138" i="13"/>
  <c r="L138" i="13"/>
  <c r="B114" i="13"/>
  <c r="B89" i="13" s="1"/>
  <c r="B42" i="13" s="1"/>
  <c r="F76" i="13"/>
  <c r="P41" i="13"/>
  <c r="O41" i="13"/>
  <c r="P40" i="13"/>
  <c r="O40" i="13"/>
  <c r="P39" i="13"/>
  <c r="O39" i="13"/>
  <c r="P38" i="13"/>
  <c r="O38" i="13"/>
  <c r="O28" i="13"/>
  <c r="K48" i="13"/>
  <c r="B62" i="13"/>
  <c r="A49" i="13"/>
  <c r="P21" i="13"/>
  <c r="A48" i="13"/>
  <c r="P19" i="13"/>
  <c r="O19" i="13"/>
  <c r="O18" i="13"/>
  <c r="P17" i="13"/>
  <c r="O17" i="13"/>
  <c r="P15" i="13"/>
  <c r="O15" i="13"/>
  <c r="O14" i="13"/>
  <c r="P13" i="13"/>
  <c r="O13" i="13"/>
  <c r="O12" i="13"/>
  <c r="P12" i="13"/>
  <c r="P11" i="13"/>
  <c r="O11" i="13"/>
  <c r="O10" i="13"/>
  <c r="P9" i="13"/>
  <c r="O9" i="13"/>
  <c r="P7" i="13"/>
  <c r="O7" i="13"/>
  <c r="O6" i="13"/>
  <c r="P5" i="13"/>
  <c r="O5" i="13"/>
  <c r="O4" i="13"/>
  <c r="P4" i="13"/>
  <c r="P3" i="13"/>
  <c r="O3" i="13"/>
  <c r="O2" i="13"/>
  <c r="P2" i="13"/>
  <c r="P42" i="13"/>
  <c r="P89" i="13" s="1"/>
  <c r="P152" i="13" s="1"/>
  <c r="K62" i="13"/>
  <c r="F142" i="12"/>
  <c r="E142" i="12"/>
  <c r="N141" i="12" s="1"/>
  <c r="D142" i="12"/>
  <c r="M141" i="12" s="1"/>
  <c r="C142" i="12"/>
  <c r="L141" i="12" s="1"/>
  <c r="F141" i="12"/>
  <c r="E141" i="12"/>
  <c r="N140" i="12" s="1"/>
  <c r="D141" i="12"/>
  <c r="M140" i="12" s="1"/>
  <c r="C141" i="12"/>
  <c r="L140" i="12" s="1"/>
  <c r="F140" i="12"/>
  <c r="E140" i="12"/>
  <c r="N139" i="12" s="1"/>
  <c r="D140" i="12"/>
  <c r="M139" i="12" s="1"/>
  <c r="C140" i="12"/>
  <c r="L139" i="12" s="1"/>
  <c r="F139" i="12"/>
  <c r="E139" i="12"/>
  <c r="D139" i="12"/>
  <c r="C139" i="12"/>
  <c r="F138" i="12"/>
  <c r="E138" i="12"/>
  <c r="D138" i="12"/>
  <c r="C138" i="12"/>
  <c r="F135" i="12"/>
  <c r="E135" i="12"/>
  <c r="D135" i="12"/>
  <c r="C135" i="12"/>
  <c r="F134" i="12"/>
  <c r="E134" i="12"/>
  <c r="D134" i="12"/>
  <c r="C134" i="12"/>
  <c r="F133" i="12"/>
  <c r="E133" i="12"/>
  <c r="D133" i="12"/>
  <c r="C133" i="12"/>
  <c r="F132" i="12"/>
  <c r="E132" i="12"/>
  <c r="D132" i="12"/>
  <c r="C132" i="12"/>
  <c r="F130" i="12"/>
  <c r="E130" i="12"/>
  <c r="D130" i="12"/>
  <c r="C130" i="12"/>
  <c r="F126" i="12"/>
  <c r="E126" i="12"/>
  <c r="D126" i="12"/>
  <c r="C126" i="12"/>
  <c r="I41" i="12"/>
  <c r="H41" i="12"/>
  <c r="G41" i="12"/>
  <c r="F41" i="12"/>
  <c r="E41" i="12"/>
  <c r="D41" i="12"/>
  <c r="H40" i="12"/>
  <c r="D40" i="12"/>
  <c r="H39" i="12"/>
  <c r="F39" i="12"/>
  <c r="E39" i="12"/>
  <c r="I38" i="12"/>
  <c r="H38" i="12"/>
  <c r="G38" i="12"/>
  <c r="F38" i="12"/>
  <c r="E38" i="12"/>
  <c r="D38" i="12"/>
  <c r="M37" i="12"/>
  <c r="L37" i="12"/>
  <c r="K37" i="12"/>
  <c r="J37" i="12"/>
  <c r="P37" i="12" s="1"/>
  <c r="I37" i="12"/>
  <c r="H37" i="12"/>
  <c r="G37" i="12"/>
  <c r="F37" i="12"/>
  <c r="E37" i="12"/>
  <c r="D37" i="12"/>
  <c r="O37" i="12" s="1"/>
  <c r="M36" i="12"/>
  <c r="L36" i="12"/>
  <c r="K36" i="12"/>
  <c r="J36" i="12"/>
  <c r="I36" i="12"/>
  <c r="H36" i="12"/>
  <c r="G36" i="12"/>
  <c r="F36" i="12"/>
  <c r="E36" i="12"/>
  <c r="M35" i="12"/>
  <c r="L35" i="12"/>
  <c r="K35" i="12"/>
  <c r="J35" i="12"/>
  <c r="P35" i="12" s="1"/>
  <c r="I35" i="12"/>
  <c r="H35" i="12"/>
  <c r="G35" i="12"/>
  <c r="F35" i="12"/>
  <c r="E35" i="12"/>
  <c r="D35" i="12"/>
  <c r="M34" i="12"/>
  <c r="L34" i="12"/>
  <c r="K34" i="12"/>
  <c r="J34" i="12"/>
  <c r="P34" i="12" s="1"/>
  <c r="I34" i="12"/>
  <c r="H34" i="12"/>
  <c r="G34" i="12"/>
  <c r="F34" i="12"/>
  <c r="E34" i="12"/>
  <c r="D34" i="12"/>
  <c r="O34" i="12" s="1"/>
  <c r="M33" i="12"/>
  <c r="L33" i="12"/>
  <c r="K33" i="12"/>
  <c r="J33" i="12"/>
  <c r="P33" i="12" s="1"/>
  <c r="I33" i="12"/>
  <c r="H33" i="12"/>
  <c r="G33" i="12"/>
  <c r="F33" i="12"/>
  <c r="E33" i="12"/>
  <c r="D33" i="12"/>
  <c r="O33" i="12" s="1"/>
  <c r="M32" i="12"/>
  <c r="L32" i="12"/>
  <c r="K32" i="12"/>
  <c r="J32" i="12"/>
  <c r="P32" i="12" s="1"/>
  <c r="I32" i="12"/>
  <c r="H32" i="12"/>
  <c r="G32" i="12"/>
  <c r="F32" i="12"/>
  <c r="E32" i="12"/>
  <c r="D32" i="12"/>
  <c r="O32" i="12" s="1"/>
  <c r="M31" i="12"/>
  <c r="L31" i="12"/>
  <c r="K31" i="12"/>
  <c r="J31" i="12"/>
  <c r="P31" i="12" s="1"/>
  <c r="I31" i="12"/>
  <c r="H31" i="12"/>
  <c r="G31" i="12"/>
  <c r="F31" i="12"/>
  <c r="E31" i="12"/>
  <c r="D31" i="12"/>
  <c r="M30" i="12"/>
  <c r="L30" i="12"/>
  <c r="K30" i="12"/>
  <c r="J30" i="12"/>
  <c r="P30" i="12" s="1"/>
  <c r="I30" i="12"/>
  <c r="H30" i="12"/>
  <c r="G30" i="12"/>
  <c r="F30" i="12"/>
  <c r="E30" i="12"/>
  <c r="D30" i="12"/>
  <c r="O30" i="12" s="1"/>
  <c r="M29" i="12"/>
  <c r="L29" i="12"/>
  <c r="K29" i="12"/>
  <c r="J29" i="12"/>
  <c r="P29" i="12" s="1"/>
  <c r="I29" i="12"/>
  <c r="H29" i="12"/>
  <c r="G29" i="12"/>
  <c r="F29" i="12"/>
  <c r="E29" i="12"/>
  <c r="D29" i="12"/>
  <c r="O29" i="12" s="1"/>
  <c r="M28" i="12"/>
  <c r="L28" i="12"/>
  <c r="K28" i="12"/>
  <c r="J28" i="12"/>
  <c r="P28" i="12" s="1"/>
  <c r="I28" i="12"/>
  <c r="H28" i="12"/>
  <c r="G28" i="12"/>
  <c r="F28" i="12"/>
  <c r="E28" i="12"/>
  <c r="D28" i="12"/>
  <c r="O28" i="12" s="1"/>
  <c r="M27" i="12"/>
  <c r="L27" i="12"/>
  <c r="K27" i="12"/>
  <c r="J27" i="12"/>
  <c r="I27" i="12"/>
  <c r="H27" i="12"/>
  <c r="G27" i="12"/>
  <c r="F27" i="12"/>
  <c r="E27" i="12"/>
  <c r="D27" i="12"/>
  <c r="M26" i="12"/>
  <c r="L26" i="12"/>
  <c r="K26" i="12"/>
  <c r="J26" i="12"/>
  <c r="I26" i="12"/>
  <c r="H26" i="12"/>
  <c r="G26" i="12"/>
  <c r="F26" i="12"/>
  <c r="E26" i="12"/>
  <c r="D26" i="12"/>
  <c r="M25" i="12"/>
  <c r="L25" i="12"/>
  <c r="K25" i="12"/>
  <c r="J25" i="12"/>
  <c r="I25" i="12"/>
  <c r="H25" i="12"/>
  <c r="G25" i="12"/>
  <c r="F25" i="12"/>
  <c r="E25" i="12"/>
  <c r="D25" i="12"/>
  <c r="M24" i="12"/>
  <c r="L24" i="12"/>
  <c r="K24" i="12"/>
  <c r="J24" i="12"/>
  <c r="P24" i="12" s="1"/>
  <c r="I24" i="12"/>
  <c r="H24" i="12"/>
  <c r="G24" i="12"/>
  <c r="F24" i="12"/>
  <c r="E24" i="12"/>
  <c r="D24" i="12"/>
  <c r="O24" i="12" s="1"/>
  <c r="M23" i="12"/>
  <c r="L23" i="12"/>
  <c r="K23" i="12"/>
  <c r="J23" i="12"/>
  <c r="P23" i="12" s="1"/>
  <c r="I23" i="12"/>
  <c r="H23" i="12"/>
  <c r="G23" i="12"/>
  <c r="F23" i="12"/>
  <c r="E23" i="12"/>
  <c r="D23" i="12"/>
  <c r="M22" i="12"/>
  <c r="L22" i="12"/>
  <c r="K22" i="12"/>
  <c r="J22" i="12"/>
  <c r="P22" i="12" s="1"/>
  <c r="I22" i="12"/>
  <c r="H22" i="12"/>
  <c r="G22" i="12"/>
  <c r="F22" i="12"/>
  <c r="E22" i="12"/>
  <c r="D22" i="12"/>
  <c r="O22" i="12" s="1"/>
  <c r="M20" i="12"/>
  <c r="L20" i="12"/>
  <c r="K20" i="12"/>
  <c r="J20" i="12"/>
  <c r="P20" i="12" s="1"/>
  <c r="I20" i="12"/>
  <c r="H20" i="12"/>
  <c r="G20" i="12"/>
  <c r="F20" i="12"/>
  <c r="E20" i="12"/>
  <c r="D20" i="12"/>
  <c r="O20" i="12" s="1"/>
  <c r="M16" i="12"/>
  <c r="L16" i="12"/>
  <c r="K16" i="12"/>
  <c r="J16" i="12"/>
  <c r="P16" i="12" s="1"/>
  <c r="I16" i="12"/>
  <c r="H16" i="12"/>
  <c r="G16" i="12"/>
  <c r="F16" i="12"/>
  <c r="E16" i="12"/>
  <c r="D16" i="12"/>
  <c r="O16" i="12" s="1"/>
  <c r="M8" i="12"/>
  <c r="L8" i="12"/>
  <c r="K8" i="12"/>
  <c r="J8" i="12"/>
  <c r="P8" i="12" s="1"/>
  <c r="I8" i="12"/>
  <c r="H8" i="12"/>
  <c r="G8" i="12"/>
  <c r="F8" i="12"/>
  <c r="E8" i="12"/>
  <c r="D8" i="12"/>
  <c r="O8" i="12" s="1"/>
  <c r="N138" i="12"/>
  <c r="M138" i="12"/>
  <c r="L138" i="12"/>
  <c r="B114" i="12"/>
  <c r="S89" i="12" s="1"/>
  <c r="F114" i="12" s="1"/>
  <c r="B152" i="12" s="1"/>
  <c r="A50" i="12"/>
  <c r="P41" i="12"/>
  <c r="O41" i="12"/>
  <c r="P40" i="12"/>
  <c r="O40" i="12"/>
  <c r="P39" i="12"/>
  <c r="O39" i="12"/>
  <c r="P38" i="12"/>
  <c r="O38" i="12"/>
  <c r="K48" i="12"/>
  <c r="B62" i="12"/>
  <c r="A49" i="12"/>
  <c r="O21" i="12"/>
  <c r="P21" i="12"/>
  <c r="A48" i="12"/>
  <c r="O19" i="12"/>
  <c r="P19" i="12"/>
  <c r="P18" i="12"/>
  <c r="O18" i="12"/>
  <c r="P17" i="12"/>
  <c r="O15" i="12"/>
  <c r="P15" i="12"/>
  <c r="P14" i="12"/>
  <c r="O14" i="12"/>
  <c r="P13" i="12"/>
  <c r="P12" i="12"/>
  <c r="O12" i="12"/>
  <c r="O11" i="12"/>
  <c r="P11" i="12"/>
  <c r="P10" i="12"/>
  <c r="O10" i="12"/>
  <c r="P9" i="12"/>
  <c r="O7" i="12"/>
  <c r="P7" i="12"/>
  <c r="P6" i="12"/>
  <c r="O6" i="12"/>
  <c r="P5" i="12"/>
  <c r="P4" i="12"/>
  <c r="O4" i="12"/>
  <c r="O3" i="12"/>
  <c r="P3" i="12"/>
  <c r="P2" i="12"/>
  <c r="O2" i="12"/>
  <c r="P42" i="12"/>
  <c r="P89" i="12" s="1"/>
  <c r="P152" i="12" s="1"/>
  <c r="F76" i="12"/>
  <c r="F142" i="11"/>
  <c r="E142" i="11"/>
  <c r="N141" i="11" s="1"/>
  <c r="D142" i="11"/>
  <c r="M141" i="11" s="1"/>
  <c r="C142" i="11"/>
  <c r="L141" i="11" s="1"/>
  <c r="F141" i="11"/>
  <c r="E141" i="11"/>
  <c r="N140" i="11" s="1"/>
  <c r="D141" i="11"/>
  <c r="M140" i="11" s="1"/>
  <c r="C141" i="11"/>
  <c r="L140" i="11" s="1"/>
  <c r="F140" i="11"/>
  <c r="E140" i="11"/>
  <c r="N139" i="11" s="1"/>
  <c r="D140" i="11"/>
  <c r="M139" i="11" s="1"/>
  <c r="C140" i="11"/>
  <c r="L139" i="11" s="1"/>
  <c r="F139" i="11"/>
  <c r="E139" i="11"/>
  <c r="D139" i="11"/>
  <c r="C139" i="11"/>
  <c r="F138" i="11"/>
  <c r="E138" i="11"/>
  <c r="D138" i="11"/>
  <c r="C138" i="11"/>
  <c r="F135" i="11"/>
  <c r="E135" i="11"/>
  <c r="D135" i="11"/>
  <c r="C135" i="11"/>
  <c r="F134" i="11"/>
  <c r="E134" i="11"/>
  <c r="D134" i="11"/>
  <c r="C134" i="11"/>
  <c r="F133" i="11"/>
  <c r="E133" i="11"/>
  <c r="D133" i="11"/>
  <c r="C133" i="11"/>
  <c r="F132" i="11"/>
  <c r="E132" i="11"/>
  <c r="D132" i="11"/>
  <c r="C132" i="11"/>
  <c r="F130" i="11"/>
  <c r="E130" i="11"/>
  <c r="D130" i="11"/>
  <c r="C130" i="11"/>
  <c r="F126" i="11"/>
  <c r="E126" i="11"/>
  <c r="D126" i="11"/>
  <c r="C126" i="11"/>
  <c r="M41" i="11"/>
  <c r="L41" i="11"/>
  <c r="K41" i="11"/>
  <c r="J41" i="11"/>
  <c r="I41" i="11"/>
  <c r="H41" i="11"/>
  <c r="G41" i="11"/>
  <c r="F41" i="11"/>
  <c r="D41" i="11"/>
  <c r="M40" i="11"/>
  <c r="L40" i="11"/>
  <c r="K40" i="11"/>
  <c r="J40" i="11"/>
  <c r="I40" i="11"/>
  <c r="H40" i="11"/>
  <c r="G40" i="11"/>
  <c r="F40" i="11"/>
  <c r="D40" i="11"/>
  <c r="M39" i="11"/>
  <c r="L39" i="11"/>
  <c r="K39" i="11"/>
  <c r="J39" i="11"/>
  <c r="I39" i="11"/>
  <c r="H39" i="11"/>
  <c r="G39" i="11"/>
  <c r="D39" i="11"/>
  <c r="M38" i="11"/>
  <c r="L38" i="11"/>
  <c r="K38" i="11"/>
  <c r="J38" i="11"/>
  <c r="I38" i="11"/>
  <c r="H38" i="11"/>
  <c r="G38" i="11"/>
  <c r="F38" i="11"/>
  <c r="D38" i="11"/>
  <c r="M37" i="11"/>
  <c r="L37" i="11"/>
  <c r="K37" i="11"/>
  <c r="J37" i="11"/>
  <c r="P37" i="11" s="1"/>
  <c r="I37" i="11"/>
  <c r="H37" i="11"/>
  <c r="G37" i="11"/>
  <c r="F37" i="11"/>
  <c r="E37" i="11"/>
  <c r="D37" i="11"/>
  <c r="M36" i="11"/>
  <c r="L36" i="11"/>
  <c r="K36" i="11"/>
  <c r="J36" i="11"/>
  <c r="I36" i="11"/>
  <c r="H36" i="11"/>
  <c r="G36" i="11"/>
  <c r="F36" i="11"/>
  <c r="E36" i="11"/>
  <c r="D36" i="11"/>
  <c r="M35" i="11"/>
  <c r="L35" i="11"/>
  <c r="K35" i="11"/>
  <c r="J35" i="11"/>
  <c r="P35" i="11" s="1"/>
  <c r="I35" i="11"/>
  <c r="H35" i="11"/>
  <c r="G35" i="11"/>
  <c r="F35" i="11"/>
  <c r="E35" i="11"/>
  <c r="D35" i="11"/>
  <c r="O35" i="11" s="1"/>
  <c r="M34" i="11"/>
  <c r="L34" i="11"/>
  <c r="K34" i="11"/>
  <c r="J34" i="11"/>
  <c r="P34" i="11" s="1"/>
  <c r="I34" i="11"/>
  <c r="H34" i="11"/>
  <c r="G34" i="11"/>
  <c r="F34" i="11"/>
  <c r="E34" i="11"/>
  <c r="D34" i="11"/>
  <c r="O34" i="11" s="1"/>
  <c r="M33" i="11"/>
  <c r="L33" i="11"/>
  <c r="K33" i="11"/>
  <c r="J33" i="11"/>
  <c r="P33" i="11" s="1"/>
  <c r="I33" i="11"/>
  <c r="H33" i="11"/>
  <c r="G33" i="11"/>
  <c r="F33" i="11"/>
  <c r="E33" i="11"/>
  <c r="D33" i="11"/>
  <c r="M32" i="11"/>
  <c r="L32" i="11"/>
  <c r="K32" i="11"/>
  <c r="J32" i="11"/>
  <c r="P32" i="11" s="1"/>
  <c r="I32" i="11"/>
  <c r="H32" i="11"/>
  <c r="G32" i="11"/>
  <c r="F32" i="11"/>
  <c r="E32" i="11"/>
  <c r="D32" i="11"/>
  <c r="O32" i="11" s="1"/>
  <c r="M31" i="11"/>
  <c r="L31" i="11"/>
  <c r="K31" i="11"/>
  <c r="J31" i="11"/>
  <c r="I31" i="11"/>
  <c r="H31" i="11"/>
  <c r="G31" i="11"/>
  <c r="F31" i="11"/>
  <c r="E31" i="11"/>
  <c r="D31" i="11"/>
  <c r="O31" i="11" s="1"/>
  <c r="M30" i="11"/>
  <c r="L30" i="11"/>
  <c r="K30" i="11"/>
  <c r="J30" i="11"/>
  <c r="P30" i="11" s="1"/>
  <c r="I30" i="11"/>
  <c r="H30" i="11"/>
  <c r="G30" i="11"/>
  <c r="F30" i="11"/>
  <c r="E30" i="11"/>
  <c r="D30" i="11"/>
  <c r="O30" i="11" s="1"/>
  <c r="M29" i="11"/>
  <c r="L29" i="11"/>
  <c r="K29" i="11"/>
  <c r="J29" i="11"/>
  <c r="P29" i="11" s="1"/>
  <c r="I29" i="11"/>
  <c r="H29" i="11"/>
  <c r="G29" i="11"/>
  <c r="F29" i="11"/>
  <c r="E29" i="11"/>
  <c r="D29" i="11"/>
  <c r="M28" i="11"/>
  <c r="L28" i="11"/>
  <c r="K28" i="11"/>
  <c r="J28" i="11"/>
  <c r="P28" i="11" s="1"/>
  <c r="I28" i="11"/>
  <c r="H28" i="11"/>
  <c r="G28" i="11"/>
  <c r="F28" i="11"/>
  <c r="E28" i="11"/>
  <c r="D28" i="11"/>
  <c r="O28" i="11" s="1"/>
  <c r="M27" i="11"/>
  <c r="L27" i="11"/>
  <c r="K27" i="11"/>
  <c r="J27" i="11"/>
  <c r="P27" i="11" s="1"/>
  <c r="I27" i="11"/>
  <c r="H27" i="11"/>
  <c r="G27" i="11"/>
  <c r="F27" i="11"/>
  <c r="E27" i="11"/>
  <c r="D27" i="11"/>
  <c r="O27" i="11" s="1"/>
  <c r="M26" i="11"/>
  <c r="L26" i="11"/>
  <c r="K26" i="11"/>
  <c r="J26" i="11"/>
  <c r="I26" i="11"/>
  <c r="H26" i="11"/>
  <c r="G26" i="11"/>
  <c r="F26" i="11"/>
  <c r="E26" i="11"/>
  <c r="D26" i="11"/>
  <c r="M25" i="11"/>
  <c r="L25" i="11"/>
  <c r="K25" i="11"/>
  <c r="J25" i="11"/>
  <c r="I25" i="11"/>
  <c r="H25" i="11"/>
  <c r="G25" i="11"/>
  <c r="F25" i="11"/>
  <c r="E25" i="11"/>
  <c r="D25" i="11"/>
  <c r="M24" i="11"/>
  <c r="L24" i="11"/>
  <c r="K24" i="11"/>
  <c r="J24" i="11"/>
  <c r="P24" i="11" s="1"/>
  <c r="I24" i="11"/>
  <c r="H24" i="11"/>
  <c r="G24" i="11"/>
  <c r="F24" i="11"/>
  <c r="E24" i="11"/>
  <c r="D24" i="11"/>
  <c r="O24" i="11" s="1"/>
  <c r="M23" i="11"/>
  <c r="L23" i="11"/>
  <c r="K23" i="11"/>
  <c r="J23" i="11"/>
  <c r="P23" i="11" s="1"/>
  <c r="I23" i="11"/>
  <c r="H23" i="11"/>
  <c r="G23" i="11"/>
  <c r="F23" i="11"/>
  <c r="E23" i="11"/>
  <c r="D23" i="11"/>
  <c r="O23" i="11" s="1"/>
  <c r="M22" i="11"/>
  <c r="L22" i="11"/>
  <c r="K22" i="11"/>
  <c r="J22" i="11"/>
  <c r="P22" i="11" s="1"/>
  <c r="I22" i="11"/>
  <c r="H22" i="11"/>
  <c r="G22" i="11"/>
  <c r="F22" i="11"/>
  <c r="E22" i="11"/>
  <c r="D22" i="11"/>
  <c r="O22" i="11" s="1"/>
  <c r="M20" i="11"/>
  <c r="L20" i="11"/>
  <c r="K20" i="11"/>
  <c r="J20" i="11"/>
  <c r="P20" i="11" s="1"/>
  <c r="I20" i="11"/>
  <c r="H20" i="11"/>
  <c r="G20" i="11"/>
  <c r="F20" i="11"/>
  <c r="E20" i="11"/>
  <c r="D20" i="11"/>
  <c r="O20" i="11" s="1"/>
  <c r="M16" i="11"/>
  <c r="L16" i="11"/>
  <c r="K16" i="11"/>
  <c r="J16" i="11"/>
  <c r="P16" i="11" s="1"/>
  <c r="I16" i="11"/>
  <c r="H16" i="11"/>
  <c r="G16" i="11"/>
  <c r="F16" i="11"/>
  <c r="E16" i="11"/>
  <c r="D16" i="11"/>
  <c r="O16" i="11" s="1"/>
  <c r="M8" i="11"/>
  <c r="L8" i="11"/>
  <c r="K8" i="11"/>
  <c r="J8" i="11"/>
  <c r="P8" i="11" s="1"/>
  <c r="I8" i="11"/>
  <c r="H8" i="11"/>
  <c r="G8" i="11"/>
  <c r="F8" i="11"/>
  <c r="E8" i="11"/>
  <c r="D8" i="11"/>
  <c r="O8" i="11" s="1"/>
  <c r="N138" i="11"/>
  <c r="M138" i="11"/>
  <c r="L138" i="11"/>
  <c r="B114" i="11"/>
  <c r="B89" i="11" s="1"/>
  <c r="B42" i="11" s="1"/>
  <c r="F76" i="11"/>
  <c r="P41" i="11"/>
  <c r="O41" i="11"/>
  <c r="P40" i="11"/>
  <c r="O40" i="11"/>
  <c r="P39" i="11"/>
  <c r="O39" i="11"/>
  <c r="P38" i="11"/>
  <c r="O38" i="11"/>
  <c r="K48" i="11"/>
  <c r="B62" i="11"/>
  <c r="A49" i="11"/>
  <c r="P21" i="11"/>
  <c r="A48" i="11"/>
  <c r="P19" i="11"/>
  <c r="O19" i="11"/>
  <c r="O18" i="11"/>
  <c r="P17" i="11"/>
  <c r="P15" i="11"/>
  <c r="O15" i="11"/>
  <c r="O14" i="11"/>
  <c r="P13" i="11"/>
  <c r="O12" i="11"/>
  <c r="P12" i="11"/>
  <c r="P11" i="11"/>
  <c r="O11" i="11"/>
  <c r="P9" i="11"/>
  <c r="P7" i="11"/>
  <c r="O7" i="11"/>
  <c r="O6" i="11"/>
  <c r="P5" i="11"/>
  <c r="O4" i="11"/>
  <c r="P4" i="11"/>
  <c r="P3" i="11"/>
  <c r="O3" i="11"/>
  <c r="O2" i="11"/>
  <c r="P42" i="11"/>
  <c r="P89" i="11" s="1"/>
  <c r="P152" i="11" s="1"/>
  <c r="K62" i="11"/>
  <c r="N141" i="10"/>
  <c r="M141" i="10"/>
  <c r="L141" i="10"/>
  <c r="L143" i="10" s="1"/>
  <c r="N140" i="10"/>
  <c r="M140" i="10"/>
  <c r="L140" i="10"/>
  <c r="N139" i="10"/>
  <c r="M139" i="10"/>
  <c r="L139" i="10"/>
  <c r="N138" i="10"/>
  <c r="M138" i="10"/>
  <c r="L138" i="10"/>
  <c r="B114" i="10"/>
  <c r="S89" i="10" s="1"/>
  <c r="F114" i="10" s="1"/>
  <c r="B152" i="10" s="1"/>
  <c r="F76" i="10"/>
  <c r="A50" i="10"/>
  <c r="P41" i="10"/>
  <c r="O41" i="10"/>
  <c r="P40" i="10"/>
  <c r="O40" i="10"/>
  <c r="P39" i="10"/>
  <c r="O39" i="10"/>
  <c r="P38" i="10"/>
  <c r="O38" i="10"/>
  <c r="P37" i="10"/>
  <c r="O37" i="10"/>
  <c r="P35" i="10"/>
  <c r="O35" i="10"/>
  <c r="O34" i="10"/>
  <c r="P34" i="10"/>
  <c r="P33" i="10"/>
  <c r="O33" i="10"/>
  <c r="P32" i="10"/>
  <c r="P31" i="10"/>
  <c r="O31" i="10"/>
  <c r="O30" i="10"/>
  <c r="P30" i="10"/>
  <c r="P29" i="10"/>
  <c r="O29" i="10"/>
  <c r="P28" i="10"/>
  <c r="P27" i="10"/>
  <c r="O27" i="10"/>
  <c r="O24" i="10"/>
  <c r="K48" i="10"/>
  <c r="P23" i="10"/>
  <c r="O23" i="10"/>
  <c r="B62" i="10"/>
  <c r="O22" i="10"/>
  <c r="P22" i="10"/>
  <c r="A49" i="10"/>
  <c r="P21" i="10"/>
  <c r="O21" i="10"/>
  <c r="A48" i="10"/>
  <c r="P20" i="10"/>
  <c r="P19" i="10"/>
  <c r="O19" i="10"/>
  <c r="P18" i="10"/>
  <c r="O18" i="10"/>
  <c r="O17" i="10"/>
  <c r="P16" i="10"/>
  <c r="P15" i="10"/>
  <c r="O15" i="10"/>
  <c r="P14" i="10"/>
  <c r="O14" i="10"/>
  <c r="O13" i="10"/>
  <c r="P12" i="10"/>
  <c r="P11" i="10"/>
  <c r="O11" i="10"/>
  <c r="P10" i="10"/>
  <c r="O10" i="10"/>
  <c r="P9" i="10"/>
  <c r="P8" i="10"/>
  <c r="P7" i="10"/>
  <c r="O7" i="10"/>
  <c r="P6" i="10"/>
  <c r="O6" i="10"/>
  <c r="P5" i="10"/>
  <c r="P4" i="10"/>
  <c r="P3" i="10"/>
  <c r="O3" i="10"/>
  <c r="P2" i="10"/>
  <c r="O2" i="10"/>
  <c r="P42" i="10"/>
  <c r="P89" i="10" s="1"/>
  <c r="P152" i="10" s="1"/>
  <c r="F62" i="10"/>
  <c r="F142" i="9"/>
  <c r="E142" i="9"/>
  <c r="N141" i="9" s="1"/>
  <c r="D142" i="9"/>
  <c r="M141" i="9" s="1"/>
  <c r="C142" i="9"/>
  <c r="L141" i="9" s="1"/>
  <c r="F141" i="9"/>
  <c r="E141" i="9"/>
  <c r="N140" i="9" s="1"/>
  <c r="D141" i="9"/>
  <c r="M140" i="9" s="1"/>
  <c r="C141" i="9"/>
  <c r="L140" i="9" s="1"/>
  <c r="F140" i="9"/>
  <c r="E140" i="9"/>
  <c r="N139" i="9" s="1"/>
  <c r="D140" i="9"/>
  <c r="M139" i="9" s="1"/>
  <c r="C140" i="9"/>
  <c r="L139" i="9" s="1"/>
  <c r="F139" i="9"/>
  <c r="E139" i="9"/>
  <c r="D139" i="9"/>
  <c r="C139" i="9"/>
  <c r="F138" i="9"/>
  <c r="E138" i="9"/>
  <c r="D138" i="9"/>
  <c r="C138" i="9"/>
  <c r="F135" i="9"/>
  <c r="E135" i="9"/>
  <c r="D135" i="9"/>
  <c r="C135" i="9"/>
  <c r="F134" i="9"/>
  <c r="E134" i="9"/>
  <c r="D134" i="9"/>
  <c r="C134" i="9"/>
  <c r="F133" i="9"/>
  <c r="E133" i="9"/>
  <c r="D133" i="9"/>
  <c r="C133" i="9"/>
  <c r="F132" i="9"/>
  <c r="E132" i="9"/>
  <c r="D132" i="9"/>
  <c r="C132" i="9"/>
  <c r="F130" i="9"/>
  <c r="E130" i="9"/>
  <c r="D130" i="9"/>
  <c r="C130" i="9"/>
  <c r="F126" i="9"/>
  <c r="E126" i="9"/>
  <c r="D126" i="9"/>
  <c r="C126" i="9"/>
  <c r="M41" i="9"/>
  <c r="L41" i="9"/>
  <c r="K41" i="9"/>
  <c r="J41" i="9"/>
  <c r="I41" i="9"/>
  <c r="H41" i="9"/>
  <c r="G41" i="9"/>
  <c r="F41" i="9"/>
  <c r="E41" i="9"/>
  <c r="D41" i="9"/>
  <c r="M40" i="9"/>
  <c r="L40" i="9"/>
  <c r="J40" i="9"/>
  <c r="I40" i="9"/>
  <c r="H40" i="9"/>
  <c r="K39" i="9"/>
  <c r="J39" i="9"/>
  <c r="I39" i="9"/>
  <c r="H39" i="9"/>
  <c r="E39" i="9"/>
  <c r="D39" i="9"/>
  <c r="M38" i="9"/>
  <c r="L38" i="9"/>
  <c r="K38" i="9"/>
  <c r="J38" i="9"/>
  <c r="I38" i="9"/>
  <c r="H38" i="9"/>
  <c r="G38" i="9"/>
  <c r="F38" i="9"/>
  <c r="E38" i="9"/>
  <c r="D38" i="9"/>
  <c r="M37" i="9"/>
  <c r="L37" i="9"/>
  <c r="K37" i="9"/>
  <c r="J37" i="9"/>
  <c r="P37" i="9" s="1"/>
  <c r="I37" i="9"/>
  <c r="H37" i="9"/>
  <c r="G37" i="9"/>
  <c r="F37" i="9"/>
  <c r="E37" i="9"/>
  <c r="D37" i="9"/>
  <c r="O37" i="9" s="1"/>
  <c r="M36" i="9"/>
  <c r="L36" i="9"/>
  <c r="K36" i="9"/>
  <c r="J36" i="9"/>
  <c r="P36" i="9" s="1"/>
  <c r="I36" i="9"/>
  <c r="H36" i="9"/>
  <c r="G36" i="9"/>
  <c r="F36" i="9"/>
  <c r="E36" i="9"/>
  <c r="D36" i="9"/>
  <c r="M35" i="9"/>
  <c r="L35" i="9"/>
  <c r="K35" i="9"/>
  <c r="J35" i="9"/>
  <c r="P35" i="9" s="1"/>
  <c r="I35" i="9"/>
  <c r="H35" i="9"/>
  <c r="G35" i="9"/>
  <c r="F35" i="9"/>
  <c r="E35" i="9"/>
  <c r="D35" i="9"/>
  <c r="O35" i="9" s="1"/>
  <c r="M34" i="9"/>
  <c r="L34" i="9"/>
  <c r="K34" i="9"/>
  <c r="J34" i="9"/>
  <c r="P34" i="9" s="1"/>
  <c r="I34" i="9"/>
  <c r="H34" i="9"/>
  <c r="G34" i="9"/>
  <c r="F34" i="9"/>
  <c r="E34" i="9"/>
  <c r="D34" i="9"/>
  <c r="O34" i="9" s="1"/>
  <c r="M33" i="9"/>
  <c r="L33" i="9"/>
  <c r="K33" i="9"/>
  <c r="J33" i="9"/>
  <c r="P33" i="9" s="1"/>
  <c r="I33" i="9"/>
  <c r="H33" i="9"/>
  <c r="G33" i="9"/>
  <c r="F33" i="9"/>
  <c r="E33" i="9"/>
  <c r="D33" i="9"/>
  <c r="O33" i="9" s="1"/>
  <c r="M32" i="9"/>
  <c r="L32" i="9"/>
  <c r="K32" i="9"/>
  <c r="J32" i="9"/>
  <c r="P32" i="9" s="1"/>
  <c r="I32" i="9"/>
  <c r="H32" i="9"/>
  <c r="G32" i="9"/>
  <c r="F32" i="9"/>
  <c r="E32" i="9"/>
  <c r="D32" i="9"/>
  <c r="M31" i="9"/>
  <c r="L31" i="9"/>
  <c r="K31" i="9"/>
  <c r="J31" i="9"/>
  <c r="P31" i="9" s="1"/>
  <c r="I31" i="9"/>
  <c r="H31" i="9"/>
  <c r="G31" i="9"/>
  <c r="F31" i="9"/>
  <c r="E31" i="9"/>
  <c r="D31" i="9"/>
  <c r="M30" i="9"/>
  <c r="L30" i="9"/>
  <c r="K30" i="9"/>
  <c r="J30" i="9"/>
  <c r="P30" i="9" s="1"/>
  <c r="I30" i="9"/>
  <c r="H30" i="9"/>
  <c r="G30" i="9"/>
  <c r="F30" i="9"/>
  <c r="E30" i="9"/>
  <c r="D30" i="9"/>
  <c r="O30" i="9" s="1"/>
  <c r="M29" i="9"/>
  <c r="L29" i="9"/>
  <c r="K29" i="9"/>
  <c r="J29" i="9"/>
  <c r="P29" i="9" s="1"/>
  <c r="I29" i="9"/>
  <c r="H29" i="9"/>
  <c r="G29" i="9"/>
  <c r="F29" i="9"/>
  <c r="E29" i="9"/>
  <c r="D29" i="9"/>
  <c r="O29" i="9" s="1"/>
  <c r="K28" i="9"/>
  <c r="I28" i="9"/>
  <c r="H28" i="9"/>
  <c r="E28" i="9"/>
  <c r="M27" i="9"/>
  <c r="L27" i="9"/>
  <c r="K27" i="9"/>
  <c r="J27" i="9"/>
  <c r="P27" i="9" s="1"/>
  <c r="I27" i="9"/>
  <c r="H27" i="9"/>
  <c r="G27" i="9"/>
  <c r="F27" i="9"/>
  <c r="E27" i="9"/>
  <c r="D27" i="9"/>
  <c r="M26" i="9"/>
  <c r="L26" i="9"/>
  <c r="K26" i="9"/>
  <c r="J26" i="9"/>
  <c r="I26" i="9"/>
  <c r="H26" i="9"/>
  <c r="G26" i="9"/>
  <c r="F26" i="9"/>
  <c r="E26" i="9"/>
  <c r="D26" i="9"/>
  <c r="M25" i="9"/>
  <c r="L25" i="9"/>
  <c r="K25" i="9"/>
  <c r="J25" i="9"/>
  <c r="I25" i="9"/>
  <c r="H25" i="9"/>
  <c r="G25" i="9"/>
  <c r="F25" i="9"/>
  <c r="E25" i="9"/>
  <c r="D25" i="9"/>
  <c r="M24" i="9"/>
  <c r="L24" i="9"/>
  <c r="K24" i="9"/>
  <c r="J24" i="9"/>
  <c r="P24" i="9" s="1"/>
  <c r="I24" i="9"/>
  <c r="H24" i="9"/>
  <c r="G24" i="9"/>
  <c r="F24" i="9"/>
  <c r="E24" i="9"/>
  <c r="D24" i="9"/>
  <c r="M23" i="9"/>
  <c r="L23" i="9"/>
  <c r="K23" i="9"/>
  <c r="J23" i="9"/>
  <c r="P23" i="9" s="1"/>
  <c r="I23" i="9"/>
  <c r="H23" i="9"/>
  <c r="G23" i="9"/>
  <c r="F23" i="9"/>
  <c r="E23" i="9"/>
  <c r="D23" i="9"/>
  <c r="O23" i="9" s="1"/>
  <c r="M22" i="9"/>
  <c r="L22" i="9"/>
  <c r="K22" i="9"/>
  <c r="J22" i="9"/>
  <c r="P22" i="9" s="1"/>
  <c r="I22" i="9"/>
  <c r="H22" i="9"/>
  <c r="G22" i="9"/>
  <c r="F22" i="9"/>
  <c r="E22" i="9"/>
  <c r="D22" i="9"/>
  <c r="O22" i="9" s="1"/>
  <c r="M20" i="9"/>
  <c r="L20" i="9"/>
  <c r="K20" i="9"/>
  <c r="J20" i="9"/>
  <c r="P20" i="9" s="1"/>
  <c r="I20" i="9"/>
  <c r="H20" i="9"/>
  <c r="G20" i="9"/>
  <c r="F20" i="9"/>
  <c r="E20" i="9"/>
  <c r="D20" i="9"/>
  <c r="M16" i="9"/>
  <c r="L16" i="9"/>
  <c r="K16" i="9"/>
  <c r="J16" i="9"/>
  <c r="P16" i="9" s="1"/>
  <c r="I16" i="9"/>
  <c r="H16" i="9"/>
  <c r="G16" i="9"/>
  <c r="F16" i="9"/>
  <c r="E16" i="9"/>
  <c r="D16" i="9"/>
  <c r="M8" i="9"/>
  <c r="L8" i="9"/>
  <c r="K8" i="9"/>
  <c r="J8" i="9"/>
  <c r="P8" i="9" s="1"/>
  <c r="I8" i="9"/>
  <c r="H8" i="9"/>
  <c r="G8" i="9"/>
  <c r="F8" i="9"/>
  <c r="E8" i="9"/>
  <c r="D8" i="9"/>
  <c r="O8" i="9" s="1"/>
  <c r="N138" i="9"/>
  <c r="M138" i="9"/>
  <c r="L138" i="9"/>
  <c r="B114" i="9"/>
  <c r="S89" i="9" s="1"/>
  <c r="F114" i="9" s="1"/>
  <c r="B152" i="9" s="1"/>
  <c r="F76" i="9"/>
  <c r="A50" i="9"/>
  <c r="P41" i="9"/>
  <c r="O41" i="9"/>
  <c r="P40" i="9"/>
  <c r="O40" i="9"/>
  <c r="P39" i="9"/>
  <c r="O39" i="9"/>
  <c r="P38" i="9"/>
  <c r="O38" i="9"/>
  <c r="P28" i="9"/>
  <c r="K48" i="9"/>
  <c r="B62" i="9"/>
  <c r="A49" i="9"/>
  <c r="P21" i="9"/>
  <c r="O21" i="9"/>
  <c r="A48" i="9"/>
  <c r="O19" i="9"/>
  <c r="P19" i="9"/>
  <c r="P18" i="9"/>
  <c r="O18" i="9"/>
  <c r="O17" i="9"/>
  <c r="O15" i="9"/>
  <c r="P15" i="9"/>
  <c r="P14" i="9"/>
  <c r="O14" i="9"/>
  <c r="O13" i="9"/>
  <c r="O12" i="9"/>
  <c r="P12" i="9"/>
  <c r="O11" i="9"/>
  <c r="P11" i="9"/>
  <c r="P10" i="9"/>
  <c r="O10" i="9"/>
  <c r="O9" i="9"/>
  <c r="O7" i="9"/>
  <c r="P7" i="9"/>
  <c r="P6" i="9"/>
  <c r="O6" i="9"/>
  <c r="P5" i="9"/>
  <c r="O4" i="9"/>
  <c r="P4" i="9"/>
  <c r="O3" i="9"/>
  <c r="P2" i="9"/>
  <c r="O2" i="9"/>
  <c r="P42" i="9"/>
  <c r="P89" i="9" s="1"/>
  <c r="P152" i="9" s="1"/>
  <c r="K62" i="9"/>
  <c r="F142" i="8"/>
  <c r="E142" i="8"/>
  <c r="N141" i="8" s="1"/>
  <c r="D142" i="8"/>
  <c r="M141" i="8" s="1"/>
  <c r="C142" i="8"/>
  <c r="L141" i="8" s="1"/>
  <c r="F141" i="8"/>
  <c r="E141" i="8"/>
  <c r="N140" i="8" s="1"/>
  <c r="D141" i="8"/>
  <c r="M140" i="8" s="1"/>
  <c r="C141" i="8"/>
  <c r="L140" i="8" s="1"/>
  <c r="F140" i="8"/>
  <c r="E140" i="8"/>
  <c r="N139" i="8" s="1"/>
  <c r="D140" i="8"/>
  <c r="M139" i="8" s="1"/>
  <c r="C140" i="8"/>
  <c r="L139" i="8" s="1"/>
  <c r="F139" i="8"/>
  <c r="E139" i="8"/>
  <c r="D139" i="8"/>
  <c r="C139" i="8"/>
  <c r="F138" i="8"/>
  <c r="E138" i="8"/>
  <c r="D138" i="8"/>
  <c r="C138" i="8"/>
  <c r="F135" i="8"/>
  <c r="E135" i="8"/>
  <c r="D135" i="8"/>
  <c r="C135" i="8"/>
  <c r="F134" i="8"/>
  <c r="E134" i="8"/>
  <c r="D134" i="8"/>
  <c r="C134" i="8"/>
  <c r="F133" i="8"/>
  <c r="E133" i="8"/>
  <c r="D133" i="8"/>
  <c r="C133" i="8"/>
  <c r="F132" i="8"/>
  <c r="E132" i="8"/>
  <c r="D132" i="8"/>
  <c r="C132" i="8"/>
  <c r="F130" i="8"/>
  <c r="E130" i="8"/>
  <c r="D130" i="8"/>
  <c r="C130" i="8"/>
  <c r="F126" i="8"/>
  <c r="E126" i="8"/>
  <c r="D126" i="8"/>
  <c r="C126" i="8"/>
  <c r="M41" i="8"/>
  <c r="L41" i="8"/>
  <c r="K41" i="8"/>
  <c r="J41" i="8"/>
  <c r="I41" i="8"/>
  <c r="H41" i="8"/>
  <c r="G41" i="8"/>
  <c r="F41" i="8"/>
  <c r="E41" i="8"/>
  <c r="D41" i="8"/>
  <c r="M40" i="8"/>
  <c r="L40" i="8"/>
  <c r="K40" i="8"/>
  <c r="J40" i="8"/>
  <c r="I40" i="8"/>
  <c r="H40" i="8"/>
  <c r="G40" i="8"/>
  <c r="F40" i="8"/>
  <c r="E40" i="8"/>
  <c r="D40" i="8"/>
  <c r="M39" i="8"/>
  <c r="L39" i="8"/>
  <c r="K39" i="8"/>
  <c r="J39" i="8"/>
  <c r="I39" i="8"/>
  <c r="H39" i="8"/>
  <c r="G39" i="8"/>
  <c r="F39" i="8"/>
  <c r="E39" i="8"/>
  <c r="D39" i="8"/>
  <c r="M38" i="8"/>
  <c r="L38" i="8"/>
  <c r="K38" i="8"/>
  <c r="J38" i="8"/>
  <c r="I38" i="8"/>
  <c r="H38" i="8"/>
  <c r="G38" i="8"/>
  <c r="F38" i="8"/>
  <c r="E38" i="8"/>
  <c r="D38" i="8"/>
  <c r="M37" i="8"/>
  <c r="L37" i="8"/>
  <c r="K37" i="8"/>
  <c r="J37" i="8"/>
  <c r="P37" i="8" s="1"/>
  <c r="I37" i="8"/>
  <c r="H37" i="8"/>
  <c r="G37" i="8"/>
  <c r="F37" i="8"/>
  <c r="E37" i="8"/>
  <c r="D37" i="8"/>
  <c r="M36" i="8"/>
  <c r="L36" i="8"/>
  <c r="K36" i="8"/>
  <c r="J36" i="8"/>
  <c r="I36" i="8"/>
  <c r="H36" i="8"/>
  <c r="G36" i="8"/>
  <c r="F36" i="8"/>
  <c r="E36" i="8"/>
  <c r="D36" i="8"/>
  <c r="M35" i="8"/>
  <c r="L35" i="8"/>
  <c r="K35" i="8"/>
  <c r="J35" i="8"/>
  <c r="P35" i="8" s="1"/>
  <c r="I35" i="8"/>
  <c r="H35" i="8"/>
  <c r="G35" i="8"/>
  <c r="F35" i="8"/>
  <c r="E35" i="8"/>
  <c r="D35" i="8"/>
  <c r="M34" i="8"/>
  <c r="L34" i="8"/>
  <c r="K34" i="8"/>
  <c r="J34" i="8"/>
  <c r="P34" i="8" s="1"/>
  <c r="I34" i="8"/>
  <c r="H34" i="8"/>
  <c r="G34" i="8"/>
  <c r="F34" i="8"/>
  <c r="E34" i="8"/>
  <c r="D34" i="8"/>
  <c r="O34" i="8" s="1"/>
  <c r="M33" i="8"/>
  <c r="L33" i="8"/>
  <c r="K33" i="8"/>
  <c r="J33" i="8"/>
  <c r="P33" i="8" s="1"/>
  <c r="I33" i="8"/>
  <c r="H33" i="8"/>
  <c r="G33" i="8"/>
  <c r="F33" i="8"/>
  <c r="E33" i="8"/>
  <c r="D33" i="8"/>
  <c r="M32" i="8"/>
  <c r="L32" i="8"/>
  <c r="K32" i="8"/>
  <c r="J32" i="8"/>
  <c r="P32" i="8" s="1"/>
  <c r="I32" i="8"/>
  <c r="H32" i="8"/>
  <c r="G32" i="8"/>
  <c r="F32" i="8"/>
  <c r="E32" i="8"/>
  <c r="D32" i="8"/>
  <c r="O32" i="8" s="1"/>
  <c r="M31" i="8"/>
  <c r="L31" i="8"/>
  <c r="K31" i="8"/>
  <c r="J31" i="8"/>
  <c r="P31" i="8" s="1"/>
  <c r="I31" i="8"/>
  <c r="H31" i="8"/>
  <c r="G31" i="8"/>
  <c r="F31" i="8"/>
  <c r="E31" i="8"/>
  <c r="D31" i="8"/>
  <c r="M30" i="8"/>
  <c r="L30" i="8"/>
  <c r="K30" i="8"/>
  <c r="J30" i="8"/>
  <c r="P30" i="8" s="1"/>
  <c r="I30" i="8"/>
  <c r="H30" i="8"/>
  <c r="G30" i="8"/>
  <c r="F30" i="8"/>
  <c r="E30" i="8"/>
  <c r="D30" i="8"/>
  <c r="O30" i="8" s="1"/>
  <c r="M29" i="8"/>
  <c r="L29" i="8"/>
  <c r="K29" i="8"/>
  <c r="J29" i="8"/>
  <c r="P29" i="8" s="1"/>
  <c r="I29" i="8"/>
  <c r="H29" i="8"/>
  <c r="G29" i="8"/>
  <c r="F29" i="8"/>
  <c r="E29" i="8"/>
  <c r="D29" i="8"/>
  <c r="M28" i="8"/>
  <c r="L28" i="8"/>
  <c r="K28" i="8"/>
  <c r="J28" i="8"/>
  <c r="P28" i="8" s="1"/>
  <c r="I28" i="8"/>
  <c r="H28" i="8"/>
  <c r="G28" i="8"/>
  <c r="F28" i="8"/>
  <c r="D28" i="8"/>
  <c r="O28" i="8" s="1"/>
  <c r="M27" i="8"/>
  <c r="L27" i="8"/>
  <c r="K27" i="8"/>
  <c r="J27" i="8"/>
  <c r="I27" i="8"/>
  <c r="H27" i="8"/>
  <c r="G27" i="8"/>
  <c r="F27" i="8"/>
  <c r="E27" i="8"/>
  <c r="D27" i="8"/>
  <c r="M26" i="8"/>
  <c r="L26" i="8"/>
  <c r="K26" i="8"/>
  <c r="J26" i="8"/>
  <c r="I26" i="8"/>
  <c r="H26" i="8"/>
  <c r="G26" i="8"/>
  <c r="F26" i="8"/>
  <c r="E26" i="8"/>
  <c r="D26" i="8"/>
  <c r="M25" i="8"/>
  <c r="L25" i="8"/>
  <c r="K25" i="8"/>
  <c r="J25" i="8"/>
  <c r="I25" i="8"/>
  <c r="H25" i="8"/>
  <c r="G25" i="8"/>
  <c r="F25" i="8"/>
  <c r="E25" i="8"/>
  <c r="D25" i="8"/>
  <c r="M24" i="8"/>
  <c r="L24" i="8"/>
  <c r="K24" i="8"/>
  <c r="J24" i="8"/>
  <c r="P24" i="8" s="1"/>
  <c r="I24" i="8"/>
  <c r="H24" i="8"/>
  <c r="G24" i="8"/>
  <c r="F24" i="8"/>
  <c r="E24" i="8"/>
  <c r="D24" i="8"/>
  <c r="O24" i="8" s="1"/>
  <c r="M23" i="8"/>
  <c r="L23" i="8"/>
  <c r="K23" i="8"/>
  <c r="J23" i="8"/>
  <c r="P23" i="8" s="1"/>
  <c r="I23" i="8"/>
  <c r="H23" i="8"/>
  <c r="G23" i="8"/>
  <c r="F23" i="8"/>
  <c r="E23" i="8"/>
  <c r="D23" i="8"/>
  <c r="M22" i="8"/>
  <c r="L22" i="8"/>
  <c r="K22" i="8"/>
  <c r="J22" i="8"/>
  <c r="P22" i="8" s="1"/>
  <c r="I22" i="8"/>
  <c r="H22" i="8"/>
  <c r="G22" i="8"/>
  <c r="F22" i="8"/>
  <c r="E22" i="8"/>
  <c r="D22" i="8"/>
  <c r="O22" i="8" s="1"/>
  <c r="M20" i="8"/>
  <c r="L20" i="8"/>
  <c r="K20" i="8"/>
  <c r="J20" i="8"/>
  <c r="P20" i="8" s="1"/>
  <c r="I20" i="8"/>
  <c r="H20" i="8"/>
  <c r="G20" i="8"/>
  <c r="F20" i="8"/>
  <c r="E20" i="8"/>
  <c r="D20" i="8"/>
  <c r="O20" i="8" s="1"/>
  <c r="M16" i="8"/>
  <c r="L16" i="8"/>
  <c r="K16" i="8"/>
  <c r="J16" i="8"/>
  <c r="P16" i="8" s="1"/>
  <c r="I16" i="8"/>
  <c r="H16" i="8"/>
  <c r="G16" i="8"/>
  <c r="F16" i="8"/>
  <c r="E16" i="8"/>
  <c r="D16" i="8"/>
  <c r="M8" i="8"/>
  <c r="L8" i="8"/>
  <c r="K8" i="8"/>
  <c r="J8" i="8"/>
  <c r="P8" i="8" s="1"/>
  <c r="I8" i="8"/>
  <c r="H8" i="8"/>
  <c r="G8" i="8"/>
  <c r="F8" i="8"/>
  <c r="E8" i="8"/>
  <c r="D8" i="8"/>
  <c r="N138" i="8"/>
  <c r="M138" i="8"/>
  <c r="L138" i="8"/>
  <c r="B114" i="8"/>
  <c r="S89" i="8" s="1"/>
  <c r="F114" i="8" s="1"/>
  <c r="B152" i="8" s="1"/>
  <c r="F76" i="8"/>
  <c r="F62" i="8"/>
  <c r="P41" i="8"/>
  <c r="O41" i="8"/>
  <c r="P40" i="8"/>
  <c r="O40" i="8"/>
  <c r="P39" i="8"/>
  <c r="O39" i="8"/>
  <c r="P38" i="8"/>
  <c r="O38" i="8"/>
  <c r="K48" i="8"/>
  <c r="B62" i="8"/>
  <c r="A49" i="8"/>
  <c r="P21" i="8"/>
  <c r="A48" i="8"/>
  <c r="P19" i="8"/>
  <c r="O19" i="8"/>
  <c r="O18" i="8"/>
  <c r="P17" i="8"/>
  <c r="O17" i="8"/>
  <c r="P15" i="8"/>
  <c r="O15" i="8"/>
  <c r="O14" i="8"/>
  <c r="P13" i="8"/>
  <c r="O13" i="8"/>
  <c r="P12" i="8"/>
  <c r="P11" i="8"/>
  <c r="O11" i="8"/>
  <c r="O10" i="8"/>
  <c r="P9" i="8"/>
  <c r="O9" i="8"/>
  <c r="P7" i="8"/>
  <c r="O7" i="8"/>
  <c r="O6" i="8"/>
  <c r="P5" i="8"/>
  <c r="O5" i="8"/>
  <c r="P4" i="8"/>
  <c r="P3" i="8"/>
  <c r="O2" i="8"/>
  <c r="P2" i="8"/>
  <c r="P42" i="8"/>
  <c r="P89" i="8" s="1"/>
  <c r="P152" i="8" s="1"/>
  <c r="K62" i="8"/>
  <c r="F142" i="7"/>
  <c r="D142" i="7"/>
  <c r="M141" i="7" s="1"/>
  <c r="F141" i="7"/>
  <c r="D141" i="7"/>
  <c r="M140" i="7" s="1"/>
  <c r="F140" i="7"/>
  <c r="D140" i="7"/>
  <c r="M139" i="7" s="1"/>
  <c r="F139" i="7"/>
  <c r="D139" i="7"/>
  <c r="F138" i="7"/>
  <c r="D138" i="7"/>
  <c r="F135" i="7"/>
  <c r="D135" i="7"/>
  <c r="F134" i="7"/>
  <c r="D134" i="7"/>
  <c r="F133" i="7"/>
  <c r="D133" i="7"/>
  <c r="F132" i="7"/>
  <c r="D132" i="7"/>
  <c r="F130" i="7"/>
  <c r="D130" i="7"/>
  <c r="F126" i="7"/>
  <c r="D126" i="7"/>
  <c r="M41" i="7"/>
  <c r="K41" i="7"/>
  <c r="E41" i="7"/>
  <c r="D41" i="7"/>
  <c r="M40" i="7"/>
  <c r="M39" i="7"/>
  <c r="K39" i="7"/>
  <c r="E39" i="7"/>
  <c r="D39" i="7"/>
  <c r="M38" i="7"/>
  <c r="E38" i="7"/>
  <c r="D38" i="7"/>
  <c r="M37" i="7"/>
  <c r="L37" i="7"/>
  <c r="K37" i="7"/>
  <c r="J37" i="7"/>
  <c r="P37" i="7" s="1"/>
  <c r="I37" i="7"/>
  <c r="H37" i="7"/>
  <c r="G37" i="7"/>
  <c r="F37" i="7"/>
  <c r="E37" i="7"/>
  <c r="D37" i="7"/>
  <c r="O37" i="7" s="1"/>
  <c r="M36" i="7"/>
  <c r="L36" i="7"/>
  <c r="K36" i="7"/>
  <c r="J36" i="7"/>
  <c r="I36" i="7"/>
  <c r="H36" i="7"/>
  <c r="G36" i="7"/>
  <c r="F36" i="7"/>
  <c r="E36" i="7"/>
  <c r="D36" i="7"/>
  <c r="M35" i="7"/>
  <c r="L35" i="7"/>
  <c r="K35" i="7"/>
  <c r="J35" i="7"/>
  <c r="P35" i="7" s="1"/>
  <c r="I35" i="7"/>
  <c r="H35" i="7"/>
  <c r="G35" i="7"/>
  <c r="F35" i="7"/>
  <c r="E35" i="7"/>
  <c r="D35" i="7"/>
  <c r="M34" i="7"/>
  <c r="L34" i="7"/>
  <c r="K34" i="7"/>
  <c r="J34" i="7"/>
  <c r="P34" i="7" s="1"/>
  <c r="I34" i="7"/>
  <c r="H34" i="7"/>
  <c r="G34" i="7"/>
  <c r="F34" i="7"/>
  <c r="E34" i="7"/>
  <c r="D34" i="7"/>
  <c r="O34" i="7" s="1"/>
  <c r="M33" i="7"/>
  <c r="L33" i="7"/>
  <c r="K33" i="7"/>
  <c r="J33" i="7"/>
  <c r="P33" i="7" s="1"/>
  <c r="I33" i="7"/>
  <c r="H33" i="7"/>
  <c r="G33" i="7"/>
  <c r="F33" i="7"/>
  <c r="E33" i="7"/>
  <c r="D33" i="7"/>
  <c r="O33" i="7" s="1"/>
  <c r="M32" i="7"/>
  <c r="L32" i="7"/>
  <c r="K32" i="7"/>
  <c r="J32" i="7"/>
  <c r="P32" i="7" s="1"/>
  <c r="I32" i="7"/>
  <c r="H32" i="7"/>
  <c r="G32" i="7"/>
  <c r="F32" i="7"/>
  <c r="E32" i="7"/>
  <c r="D32" i="7"/>
  <c r="O32" i="7" s="1"/>
  <c r="M31" i="7"/>
  <c r="L31" i="7"/>
  <c r="K31" i="7"/>
  <c r="J31" i="7"/>
  <c r="P31" i="7" s="1"/>
  <c r="I31" i="7"/>
  <c r="H31" i="7"/>
  <c r="G31" i="7"/>
  <c r="F31" i="7"/>
  <c r="E31" i="7"/>
  <c r="D31" i="7"/>
  <c r="M30" i="7"/>
  <c r="L30" i="7"/>
  <c r="K30" i="7"/>
  <c r="J30" i="7"/>
  <c r="P30" i="7" s="1"/>
  <c r="I30" i="7"/>
  <c r="H30" i="7"/>
  <c r="G30" i="7"/>
  <c r="F30" i="7"/>
  <c r="E30" i="7"/>
  <c r="D30" i="7"/>
  <c r="O30" i="7" s="1"/>
  <c r="M29" i="7"/>
  <c r="L29" i="7"/>
  <c r="K29" i="7"/>
  <c r="J29" i="7"/>
  <c r="P29" i="7" s="1"/>
  <c r="I29" i="7"/>
  <c r="H29" i="7"/>
  <c r="G29" i="7"/>
  <c r="F29" i="7"/>
  <c r="E29" i="7"/>
  <c r="D29" i="7"/>
  <c r="O29" i="7" s="1"/>
  <c r="M28" i="7"/>
  <c r="L28" i="7"/>
  <c r="K28" i="7"/>
  <c r="J28" i="7"/>
  <c r="P28" i="7" s="1"/>
  <c r="I28" i="7"/>
  <c r="H28" i="7"/>
  <c r="G28" i="7"/>
  <c r="F28" i="7"/>
  <c r="E28" i="7"/>
  <c r="D28" i="7"/>
  <c r="O28" i="7" s="1"/>
  <c r="M27" i="7"/>
  <c r="L27" i="7"/>
  <c r="K27" i="7"/>
  <c r="J27" i="7"/>
  <c r="I27" i="7"/>
  <c r="H27" i="7"/>
  <c r="G27" i="7"/>
  <c r="F27" i="7"/>
  <c r="E27" i="7"/>
  <c r="D27" i="7"/>
  <c r="M26" i="7"/>
  <c r="L26" i="7"/>
  <c r="K26" i="7"/>
  <c r="J26" i="7"/>
  <c r="I26" i="7"/>
  <c r="H26" i="7"/>
  <c r="G26" i="7"/>
  <c r="F26" i="7"/>
  <c r="E26" i="7"/>
  <c r="D26" i="7"/>
  <c r="M25" i="7"/>
  <c r="L25" i="7"/>
  <c r="K25" i="7"/>
  <c r="J25" i="7"/>
  <c r="I25" i="7"/>
  <c r="H25" i="7"/>
  <c r="G25" i="7"/>
  <c r="F25" i="7"/>
  <c r="E25" i="7"/>
  <c r="D25" i="7"/>
  <c r="M24" i="7"/>
  <c r="L24" i="7"/>
  <c r="K24" i="7"/>
  <c r="J24" i="7"/>
  <c r="P24" i="7" s="1"/>
  <c r="I24" i="7"/>
  <c r="H24" i="7"/>
  <c r="G24" i="7"/>
  <c r="F24" i="7"/>
  <c r="E24" i="7"/>
  <c r="D24" i="7"/>
  <c r="O24" i="7" s="1"/>
  <c r="M23" i="7"/>
  <c r="L23" i="7"/>
  <c r="K23" i="7"/>
  <c r="J23" i="7"/>
  <c r="P23" i="7" s="1"/>
  <c r="I23" i="7"/>
  <c r="H23" i="7"/>
  <c r="G23" i="7"/>
  <c r="F23" i="7"/>
  <c r="E23" i="7"/>
  <c r="D23" i="7"/>
  <c r="M22" i="7"/>
  <c r="L22" i="7"/>
  <c r="K22" i="7"/>
  <c r="J22" i="7"/>
  <c r="P22" i="7" s="1"/>
  <c r="I22" i="7"/>
  <c r="H22" i="7"/>
  <c r="G22" i="7"/>
  <c r="F22" i="7"/>
  <c r="E22" i="7"/>
  <c r="D22" i="7"/>
  <c r="O22" i="7" s="1"/>
  <c r="M20" i="7"/>
  <c r="L20" i="7"/>
  <c r="K20" i="7"/>
  <c r="J20" i="7"/>
  <c r="P20" i="7" s="1"/>
  <c r="I20" i="7"/>
  <c r="H20" i="7"/>
  <c r="G20" i="7"/>
  <c r="F20" i="7"/>
  <c r="E20" i="7"/>
  <c r="D20" i="7"/>
  <c r="O20" i="7" s="1"/>
  <c r="M16" i="7"/>
  <c r="L16" i="7"/>
  <c r="K16" i="7"/>
  <c r="J16" i="7"/>
  <c r="P16" i="7" s="1"/>
  <c r="I16" i="7"/>
  <c r="H16" i="7"/>
  <c r="G16" i="7"/>
  <c r="F16" i="7"/>
  <c r="E16" i="7"/>
  <c r="D16" i="7"/>
  <c r="M8" i="7"/>
  <c r="L8" i="7"/>
  <c r="K8" i="7"/>
  <c r="J8" i="7"/>
  <c r="P8" i="7" s="1"/>
  <c r="I8" i="7"/>
  <c r="H8" i="7"/>
  <c r="G8" i="7"/>
  <c r="F8" i="7"/>
  <c r="E8" i="7"/>
  <c r="D8" i="7"/>
  <c r="L141" i="7"/>
  <c r="N141" i="7"/>
  <c r="N140" i="7"/>
  <c r="L140" i="7"/>
  <c r="N139" i="7"/>
  <c r="L139" i="7"/>
  <c r="N138" i="7"/>
  <c r="M138" i="7"/>
  <c r="L138" i="7"/>
  <c r="B114" i="7"/>
  <c r="S89" i="7" s="1"/>
  <c r="F114" i="7" s="1"/>
  <c r="B152" i="7" s="1"/>
  <c r="F76" i="7"/>
  <c r="F62" i="7"/>
  <c r="A50" i="7"/>
  <c r="P41" i="7"/>
  <c r="O41" i="7"/>
  <c r="P40" i="7"/>
  <c r="O40" i="7"/>
  <c r="P39" i="7"/>
  <c r="O39" i="7"/>
  <c r="P38" i="7"/>
  <c r="O38" i="7"/>
  <c r="K48" i="7"/>
  <c r="B62" i="7"/>
  <c r="A49" i="7"/>
  <c r="O21" i="7"/>
  <c r="P21" i="7"/>
  <c r="A48" i="7"/>
  <c r="O19" i="7"/>
  <c r="P19" i="7"/>
  <c r="P18" i="7"/>
  <c r="O18" i="7"/>
  <c r="P17" i="7"/>
  <c r="O15" i="7"/>
  <c r="P15" i="7"/>
  <c r="P14" i="7"/>
  <c r="O14" i="7"/>
  <c r="P13" i="7"/>
  <c r="P12" i="7"/>
  <c r="O11" i="7"/>
  <c r="P11" i="7"/>
  <c r="P10" i="7"/>
  <c r="O10" i="7"/>
  <c r="P9" i="7"/>
  <c r="O7" i="7"/>
  <c r="P7" i="7"/>
  <c r="P6" i="7"/>
  <c r="O6" i="7"/>
  <c r="P5" i="7"/>
  <c r="P4" i="7"/>
  <c r="P3" i="7"/>
  <c r="P2" i="7"/>
  <c r="O2" i="7"/>
  <c r="P42" i="7"/>
  <c r="P89" i="7" s="1"/>
  <c r="P152" i="7" s="1"/>
  <c r="K62" i="7"/>
  <c r="F142" i="6"/>
  <c r="E142" i="6"/>
  <c r="N141" i="6" s="1"/>
  <c r="D142" i="6"/>
  <c r="M141" i="6" s="1"/>
  <c r="C142" i="6"/>
  <c r="L141" i="6" s="1"/>
  <c r="F141" i="6"/>
  <c r="E141" i="6"/>
  <c r="N140" i="6" s="1"/>
  <c r="D141" i="6"/>
  <c r="M140" i="6" s="1"/>
  <c r="C141" i="6"/>
  <c r="L140" i="6" s="1"/>
  <c r="F140" i="6"/>
  <c r="E140" i="6"/>
  <c r="N139" i="6" s="1"/>
  <c r="D140" i="6"/>
  <c r="M139" i="6" s="1"/>
  <c r="C140" i="6"/>
  <c r="L139" i="6" s="1"/>
  <c r="F139" i="6"/>
  <c r="E139" i="6"/>
  <c r="D139" i="6"/>
  <c r="C139" i="6"/>
  <c r="F138" i="6"/>
  <c r="E138" i="6"/>
  <c r="D138" i="6"/>
  <c r="C138" i="6"/>
  <c r="F135" i="6"/>
  <c r="E135" i="6"/>
  <c r="D135" i="6"/>
  <c r="C135" i="6"/>
  <c r="F134" i="6"/>
  <c r="E134" i="6"/>
  <c r="D134" i="6"/>
  <c r="C134" i="6"/>
  <c r="F133" i="6"/>
  <c r="E133" i="6"/>
  <c r="D133" i="6"/>
  <c r="C133" i="6"/>
  <c r="F132" i="6"/>
  <c r="E132" i="6"/>
  <c r="D132" i="6"/>
  <c r="C132" i="6"/>
  <c r="F130" i="6"/>
  <c r="E130" i="6"/>
  <c r="D130" i="6"/>
  <c r="C130" i="6"/>
  <c r="F126" i="6"/>
  <c r="E126" i="6"/>
  <c r="D126" i="6"/>
  <c r="C126" i="6"/>
  <c r="M41" i="6"/>
  <c r="L41" i="6"/>
  <c r="K41" i="6"/>
  <c r="J41" i="6"/>
  <c r="I41" i="6"/>
  <c r="H41" i="6"/>
  <c r="G41" i="6"/>
  <c r="F41" i="6"/>
  <c r="E41" i="6"/>
  <c r="D41" i="6"/>
  <c r="M40" i="6"/>
  <c r="L40" i="6"/>
  <c r="K40" i="6"/>
  <c r="J40" i="6"/>
  <c r="I40" i="6"/>
  <c r="H40" i="6"/>
  <c r="G40" i="6"/>
  <c r="F40" i="6"/>
  <c r="E40" i="6"/>
  <c r="M39" i="6"/>
  <c r="L39" i="6"/>
  <c r="K39" i="6"/>
  <c r="J39" i="6"/>
  <c r="I39" i="6"/>
  <c r="H39" i="6"/>
  <c r="G39" i="6"/>
  <c r="F39" i="6"/>
  <c r="E39" i="6"/>
  <c r="D39" i="6"/>
  <c r="M38" i="6"/>
  <c r="L38" i="6"/>
  <c r="K38" i="6"/>
  <c r="J38" i="6"/>
  <c r="I38" i="6"/>
  <c r="H38" i="6"/>
  <c r="G38" i="6"/>
  <c r="F38" i="6"/>
  <c r="E38" i="6"/>
  <c r="D38" i="6"/>
  <c r="M37" i="6"/>
  <c r="L37" i="6"/>
  <c r="K37" i="6"/>
  <c r="J37" i="6"/>
  <c r="P37" i="6" s="1"/>
  <c r="I37" i="6"/>
  <c r="H37" i="6"/>
  <c r="G37" i="6"/>
  <c r="F37" i="6"/>
  <c r="E37" i="6"/>
  <c r="D37" i="6"/>
  <c r="O37" i="6" s="1"/>
  <c r="M36" i="6"/>
  <c r="L36" i="6"/>
  <c r="K36" i="6"/>
  <c r="J36" i="6"/>
  <c r="P36" i="6" s="1"/>
  <c r="I36" i="6"/>
  <c r="H36" i="6"/>
  <c r="G36" i="6"/>
  <c r="F36" i="6"/>
  <c r="E36" i="6"/>
  <c r="D36" i="6"/>
  <c r="M35" i="6"/>
  <c r="L35" i="6"/>
  <c r="K35" i="6"/>
  <c r="J35" i="6"/>
  <c r="P35" i="6" s="1"/>
  <c r="I35" i="6"/>
  <c r="H35" i="6"/>
  <c r="G35" i="6"/>
  <c r="F35" i="6"/>
  <c r="E35" i="6"/>
  <c r="D35" i="6"/>
  <c r="O35" i="6" s="1"/>
  <c r="M34" i="6"/>
  <c r="L34" i="6"/>
  <c r="K34" i="6"/>
  <c r="J34" i="6"/>
  <c r="P34" i="6" s="1"/>
  <c r="I34" i="6"/>
  <c r="H34" i="6"/>
  <c r="G34" i="6"/>
  <c r="F34" i="6"/>
  <c r="E34" i="6"/>
  <c r="D34" i="6"/>
  <c r="M33" i="6"/>
  <c r="L33" i="6"/>
  <c r="K33" i="6"/>
  <c r="J33" i="6"/>
  <c r="P33" i="6" s="1"/>
  <c r="I33" i="6"/>
  <c r="H33" i="6"/>
  <c r="G33" i="6"/>
  <c r="F33" i="6"/>
  <c r="E33" i="6"/>
  <c r="D33" i="6"/>
  <c r="O33" i="6" s="1"/>
  <c r="M32" i="6"/>
  <c r="L32" i="6"/>
  <c r="K32" i="6"/>
  <c r="J32" i="6"/>
  <c r="P32" i="6" s="1"/>
  <c r="I32" i="6"/>
  <c r="H32" i="6"/>
  <c r="G32" i="6"/>
  <c r="F32" i="6"/>
  <c r="E32" i="6"/>
  <c r="D32" i="6"/>
  <c r="M31" i="6"/>
  <c r="L31" i="6"/>
  <c r="K31" i="6"/>
  <c r="J31" i="6"/>
  <c r="P31" i="6" s="1"/>
  <c r="I31" i="6"/>
  <c r="H31" i="6"/>
  <c r="G31" i="6"/>
  <c r="F31" i="6"/>
  <c r="E31" i="6"/>
  <c r="D31" i="6"/>
  <c r="O31" i="6" s="1"/>
  <c r="M30" i="6"/>
  <c r="L30" i="6"/>
  <c r="K30" i="6"/>
  <c r="J30" i="6"/>
  <c r="P30" i="6" s="1"/>
  <c r="I30" i="6"/>
  <c r="H30" i="6"/>
  <c r="G30" i="6"/>
  <c r="F30" i="6"/>
  <c r="E30" i="6"/>
  <c r="D30" i="6"/>
  <c r="M29" i="6"/>
  <c r="L29" i="6"/>
  <c r="K29" i="6"/>
  <c r="J29" i="6"/>
  <c r="P29" i="6" s="1"/>
  <c r="I29" i="6"/>
  <c r="H29" i="6"/>
  <c r="G29" i="6"/>
  <c r="F29" i="6"/>
  <c r="E29" i="6"/>
  <c r="D29" i="6"/>
  <c r="O29" i="6" s="1"/>
  <c r="M28" i="6"/>
  <c r="L28" i="6"/>
  <c r="K28" i="6"/>
  <c r="H28" i="6"/>
  <c r="G28" i="6"/>
  <c r="F28" i="6"/>
  <c r="D28" i="6"/>
  <c r="M27" i="6"/>
  <c r="L27" i="6"/>
  <c r="K27" i="6"/>
  <c r="J27" i="6"/>
  <c r="P27" i="6" s="1"/>
  <c r="I27" i="6"/>
  <c r="H27" i="6"/>
  <c r="G27" i="6"/>
  <c r="F27" i="6"/>
  <c r="E27" i="6"/>
  <c r="D27" i="6"/>
  <c r="O27" i="6" s="1"/>
  <c r="M26" i="6"/>
  <c r="L26" i="6"/>
  <c r="K26" i="6"/>
  <c r="J26" i="6"/>
  <c r="I26" i="6"/>
  <c r="H26" i="6"/>
  <c r="G26" i="6"/>
  <c r="F26" i="6"/>
  <c r="E26" i="6"/>
  <c r="D26" i="6"/>
  <c r="M25" i="6"/>
  <c r="L25" i="6"/>
  <c r="K25" i="6"/>
  <c r="J25" i="6"/>
  <c r="I25" i="6"/>
  <c r="H25" i="6"/>
  <c r="G25" i="6"/>
  <c r="F25" i="6"/>
  <c r="E25" i="6"/>
  <c r="D25" i="6"/>
  <c r="M24" i="6"/>
  <c r="L24" i="6"/>
  <c r="K24" i="6"/>
  <c r="J24" i="6"/>
  <c r="P24" i="6" s="1"/>
  <c r="I24" i="6"/>
  <c r="H24" i="6"/>
  <c r="G24" i="6"/>
  <c r="F24" i="6"/>
  <c r="E24" i="6"/>
  <c r="D24" i="6"/>
  <c r="M23" i="6"/>
  <c r="L23" i="6"/>
  <c r="K23" i="6"/>
  <c r="J23" i="6"/>
  <c r="P23" i="6" s="1"/>
  <c r="I23" i="6"/>
  <c r="H23" i="6"/>
  <c r="G23" i="6"/>
  <c r="F23" i="6"/>
  <c r="E23" i="6"/>
  <c r="D23" i="6"/>
  <c r="O23" i="6" s="1"/>
  <c r="M22" i="6"/>
  <c r="L22" i="6"/>
  <c r="K22" i="6"/>
  <c r="J22" i="6"/>
  <c r="P22" i="6" s="1"/>
  <c r="I22" i="6"/>
  <c r="H22" i="6"/>
  <c r="G22" i="6"/>
  <c r="F22" i="6"/>
  <c r="E22" i="6"/>
  <c r="D22" i="6"/>
  <c r="M20" i="6"/>
  <c r="L20" i="6"/>
  <c r="K20" i="6"/>
  <c r="J20" i="6"/>
  <c r="P20" i="6" s="1"/>
  <c r="I20" i="6"/>
  <c r="H20" i="6"/>
  <c r="G20" i="6"/>
  <c r="F20" i="6"/>
  <c r="E20" i="6"/>
  <c r="D20" i="6"/>
  <c r="M16" i="6"/>
  <c r="L16" i="6"/>
  <c r="K16" i="6"/>
  <c r="J16" i="6"/>
  <c r="P16" i="6" s="1"/>
  <c r="I16" i="6"/>
  <c r="H16" i="6"/>
  <c r="G16" i="6"/>
  <c r="F16" i="6"/>
  <c r="E16" i="6"/>
  <c r="D16" i="6"/>
  <c r="M8" i="6"/>
  <c r="L8" i="6"/>
  <c r="K8" i="6"/>
  <c r="J8" i="6"/>
  <c r="P8" i="6" s="1"/>
  <c r="I8" i="6"/>
  <c r="H8" i="6"/>
  <c r="G8" i="6"/>
  <c r="F8" i="6"/>
  <c r="E8" i="6"/>
  <c r="D8" i="6"/>
  <c r="N138" i="6"/>
  <c r="M138" i="6"/>
  <c r="L138" i="6"/>
  <c r="B114" i="6"/>
  <c r="S89" i="6" s="1"/>
  <c r="F114" i="6" s="1"/>
  <c r="B152" i="6" s="1"/>
  <c r="A76" i="6"/>
  <c r="A50" i="6"/>
  <c r="P41" i="6"/>
  <c r="O41" i="6"/>
  <c r="P40" i="6"/>
  <c r="O40" i="6"/>
  <c r="P39" i="6"/>
  <c r="O39" i="6"/>
  <c r="P38" i="6"/>
  <c r="O38" i="6"/>
  <c r="P28" i="6"/>
  <c r="K48" i="6"/>
  <c r="B62" i="6"/>
  <c r="A49" i="6"/>
  <c r="P21" i="6"/>
  <c r="O21" i="6"/>
  <c r="A48" i="6"/>
  <c r="O19" i="6"/>
  <c r="P19" i="6"/>
  <c r="P18" i="6"/>
  <c r="O18" i="6"/>
  <c r="O17" i="6"/>
  <c r="O15" i="6"/>
  <c r="P15" i="6"/>
  <c r="P14" i="6"/>
  <c r="O14" i="6"/>
  <c r="P13" i="6"/>
  <c r="P12" i="6"/>
  <c r="O11" i="6"/>
  <c r="P11" i="6"/>
  <c r="P10" i="6"/>
  <c r="O10" i="6"/>
  <c r="O9" i="6"/>
  <c r="O7" i="6"/>
  <c r="P7" i="6"/>
  <c r="P6" i="6"/>
  <c r="O6" i="6"/>
  <c r="P5" i="6"/>
  <c r="P4" i="6"/>
  <c r="O3" i="6"/>
  <c r="P2" i="6"/>
  <c r="O2" i="6"/>
  <c r="P42" i="6"/>
  <c r="P89" i="6" s="1"/>
  <c r="P152" i="6" s="1"/>
  <c r="F76" i="6"/>
  <c r="F142" i="5"/>
  <c r="E142" i="5"/>
  <c r="N141" i="5" s="1"/>
  <c r="D142" i="5"/>
  <c r="M141" i="5" s="1"/>
  <c r="C142" i="5"/>
  <c r="L141" i="5" s="1"/>
  <c r="F141" i="5"/>
  <c r="E141" i="5"/>
  <c r="N140" i="5" s="1"/>
  <c r="D141" i="5"/>
  <c r="M140" i="5" s="1"/>
  <c r="C141" i="5"/>
  <c r="L140" i="5" s="1"/>
  <c r="F140" i="5"/>
  <c r="E140" i="5"/>
  <c r="N139" i="5" s="1"/>
  <c r="D140" i="5"/>
  <c r="M139" i="5" s="1"/>
  <c r="C140" i="5"/>
  <c r="L139" i="5" s="1"/>
  <c r="F139" i="5"/>
  <c r="E139" i="5"/>
  <c r="D139" i="5"/>
  <c r="C139" i="5"/>
  <c r="F138" i="5"/>
  <c r="E138" i="5"/>
  <c r="D138" i="5"/>
  <c r="C138" i="5"/>
  <c r="F135" i="5"/>
  <c r="E135" i="5"/>
  <c r="D135" i="5"/>
  <c r="C135" i="5"/>
  <c r="F134" i="5"/>
  <c r="E134" i="5"/>
  <c r="D134" i="5"/>
  <c r="C134" i="5"/>
  <c r="F133" i="5"/>
  <c r="E133" i="5"/>
  <c r="D133" i="5"/>
  <c r="C133" i="5"/>
  <c r="F132" i="5"/>
  <c r="E132" i="5"/>
  <c r="D132" i="5"/>
  <c r="C132" i="5"/>
  <c r="F130" i="5"/>
  <c r="E130" i="5"/>
  <c r="D130" i="5"/>
  <c r="C130" i="5"/>
  <c r="F126" i="5"/>
  <c r="E126" i="5"/>
  <c r="D126" i="5"/>
  <c r="C126" i="5"/>
  <c r="M41" i="5"/>
  <c r="L41" i="5"/>
  <c r="K41" i="5"/>
  <c r="J41" i="5"/>
  <c r="I41" i="5"/>
  <c r="H41" i="5"/>
  <c r="G41" i="5"/>
  <c r="F41" i="5"/>
  <c r="E41" i="5"/>
  <c r="D41" i="5"/>
  <c r="M40" i="5"/>
  <c r="L40" i="5"/>
  <c r="K40" i="5"/>
  <c r="J40" i="5"/>
  <c r="I40" i="5"/>
  <c r="H40" i="5"/>
  <c r="G40" i="5"/>
  <c r="F40" i="5"/>
  <c r="E40" i="5"/>
  <c r="M39" i="5"/>
  <c r="L39" i="5"/>
  <c r="K39" i="5"/>
  <c r="J39" i="5"/>
  <c r="I39" i="5"/>
  <c r="H39" i="5"/>
  <c r="G39" i="5"/>
  <c r="F39" i="5"/>
  <c r="E39" i="5"/>
  <c r="D39" i="5"/>
  <c r="M38" i="5"/>
  <c r="L38" i="5"/>
  <c r="K38" i="5"/>
  <c r="J38" i="5"/>
  <c r="I38" i="5"/>
  <c r="H38" i="5"/>
  <c r="G38" i="5"/>
  <c r="F38" i="5"/>
  <c r="E38" i="5"/>
  <c r="D38" i="5"/>
  <c r="M37" i="5"/>
  <c r="L37" i="5"/>
  <c r="K37" i="5"/>
  <c r="J37" i="5"/>
  <c r="P37" i="5" s="1"/>
  <c r="I37" i="5"/>
  <c r="H37" i="5"/>
  <c r="G37" i="5"/>
  <c r="F37" i="5"/>
  <c r="E37" i="5"/>
  <c r="D37" i="5"/>
  <c r="O37" i="5" s="1"/>
  <c r="M36" i="5"/>
  <c r="L36" i="5"/>
  <c r="K36" i="5"/>
  <c r="J36" i="5"/>
  <c r="I36" i="5"/>
  <c r="H36" i="5"/>
  <c r="G36" i="5"/>
  <c r="F36" i="5"/>
  <c r="E36" i="5"/>
  <c r="D36" i="5"/>
  <c r="M35" i="5"/>
  <c r="L35" i="5"/>
  <c r="K35" i="5"/>
  <c r="J35" i="5"/>
  <c r="P35" i="5" s="1"/>
  <c r="I35" i="5"/>
  <c r="H35" i="5"/>
  <c r="G35" i="5"/>
  <c r="F35" i="5"/>
  <c r="E35" i="5"/>
  <c r="D35" i="5"/>
  <c r="M34" i="5"/>
  <c r="L34" i="5"/>
  <c r="K34" i="5"/>
  <c r="J34" i="5"/>
  <c r="P34" i="5" s="1"/>
  <c r="I34" i="5"/>
  <c r="H34" i="5"/>
  <c r="G34" i="5"/>
  <c r="F34" i="5"/>
  <c r="E34" i="5"/>
  <c r="D34" i="5"/>
  <c r="O34" i="5" s="1"/>
  <c r="M33" i="5"/>
  <c r="L33" i="5"/>
  <c r="K33" i="5"/>
  <c r="J33" i="5"/>
  <c r="P33" i="5" s="1"/>
  <c r="I33" i="5"/>
  <c r="H33" i="5"/>
  <c r="G33" i="5"/>
  <c r="F33" i="5"/>
  <c r="E33" i="5"/>
  <c r="D33" i="5"/>
  <c r="O33" i="5" s="1"/>
  <c r="M32" i="5"/>
  <c r="L32" i="5"/>
  <c r="K32" i="5"/>
  <c r="J32" i="5"/>
  <c r="P32" i="5" s="1"/>
  <c r="I32" i="5"/>
  <c r="H32" i="5"/>
  <c r="G32" i="5"/>
  <c r="F32" i="5"/>
  <c r="E32" i="5"/>
  <c r="D32" i="5"/>
  <c r="O32" i="5" s="1"/>
  <c r="M31" i="5"/>
  <c r="L31" i="5"/>
  <c r="K31" i="5"/>
  <c r="J31" i="5"/>
  <c r="P31" i="5" s="1"/>
  <c r="I31" i="5"/>
  <c r="H31" i="5"/>
  <c r="G31" i="5"/>
  <c r="F31" i="5"/>
  <c r="E31" i="5"/>
  <c r="D31" i="5"/>
  <c r="M30" i="5"/>
  <c r="L30" i="5"/>
  <c r="K30" i="5"/>
  <c r="J30" i="5"/>
  <c r="P30" i="5" s="1"/>
  <c r="I30" i="5"/>
  <c r="H30" i="5"/>
  <c r="G30" i="5"/>
  <c r="F30" i="5"/>
  <c r="E30" i="5"/>
  <c r="D30" i="5"/>
  <c r="O30" i="5" s="1"/>
  <c r="M29" i="5"/>
  <c r="L29" i="5"/>
  <c r="K29" i="5"/>
  <c r="J29" i="5"/>
  <c r="P29" i="5" s="1"/>
  <c r="I29" i="5"/>
  <c r="H29" i="5"/>
  <c r="G29" i="5"/>
  <c r="F29" i="5"/>
  <c r="E29" i="5"/>
  <c r="D29" i="5"/>
  <c r="O29" i="5" s="1"/>
  <c r="M28" i="5"/>
  <c r="L28" i="5"/>
  <c r="K28" i="5"/>
  <c r="J28" i="5"/>
  <c r="P28" i="5" s="1"/>
  <c r="I28" i="5"/>
  <c r="G28" i="5"/>
  <c r="F28" i="5"/>
  <c r="E28" i="5"/>
  <c r="D28" i="5"/>
  <c r="O28" i="5" s="1"/>
  <c r="M27" i="5"/>
  <c r="L27" i="5"/>
  <c r="K27" i="5"/>
  <c r="J27" i="5"/>
  <c r="I27" i="5"/>
  <c r="H27" i="5"/>
  <c r="G27" i="5"/>
  <c r="F27" i="5"/>
  <c r="E27" i="5"/>
  <c r="D27" i="5"/>
  <c r="M26" i="5"/>
  <c r="L26" i="5"/>
  <c r="K26" i="5"/>
  <c r="J26" i="5"/>
  <c r="I26" i="5"/>
  <c r="H26" i="5"/>
  <c r="G26" i="5"/>
  <c r="F26" i="5"/>
  <c r="E26" i="5"/>
  <c r="D26" i="5"/>
  <c r="M25" i="5"/>
  <c r="L25" i="5"/>
  <c r="K25" i="5"/>
  <c r="J25" i="5"/>
  <c r="I25" i="5"/>
  <c r="H25" i="5"/>
  <c r="G25" i="5"/>
  <c r="F25" i="5"/>
  <c r="E25" i="5"/>
  <c r="D25" i="5"/>
  <c r="M24" i="5"/>
  <c r="L24" i="5"/>
  <c r="K24" i="5"/>
  <c r="J24" i="5"/>
  <c r="P24" i="5" s="1"/>
  <c r="I24" i="5"/>
  <c r="H24" i="5"/>
  <c r="G24" i="5"/>
  <c r="F24" i="5"/>
  <c r="E24" i="5"/>
  <c r="D24" i="5"/>
  <c r="O24" i="5" s="1"/>
  <c r="M23" i="5"/>
  <c r="L23" i="5"/>
  <c r="K23" i="5"/>
  <c r="J23" i="5"/>
  <c r="P23" i="5" s="1"/>
  <c r="I23" i="5"/>
  <c r="H23" i="5"/>
  <c r="G23" i="5"/>
  <c r="F23" i="5"/>
  <c r="E23" i="5"/>
  <c r="D23" i="5"/>
  <c r="M22" i="5"/>
  <c r="L22" i="5"/>
  <c r="K22" i="5"/>
  <c r="J22" i="5"/>
  <c r="P22" i="5" s="1"/>
  <c r="I22" i="5"/>
  <c r="H22" i="5"/>
  <c r="G22" i="5"/>
  <c r="F22" i="5"/>
  <c r="E22" i="5"/>
  <c r="D22" i="5"/>
  <c r="O22" i="5" s="1"/>
  <c r="M20" i="5"/>
  <c r="L20" i="5"/>
  <c r="K20" i="5"/>
  <c r="J20" i="5"/>
  <c r="P20" i="5" s="1"/>
  <c r="I20" i="5"/>
  <c r="H20" i="5"/>
  <c r="G20" i="5"/>
  <c r="F20" i="5"/>
  <c r="E20" i="5"/>
  <c r="D20" i="5"/>
  <c r="O20" i="5" s="1"/>
  <c r="M16" i="5"/>
  <c r="L16" i="5"/>
  <c r="K16" i="5"/>
  <c r="J16" i="5"/>
  <c r="P16" i="5" s="1"/>
  <c r="I16" i="5"/>
  <c r="H16" i="5"/>
  <c r="G16" i="5"/>
  <c r="F16" i="5"/>
  <c r="E16" i="5"/>
  <c r="D16" i="5"/>
  <c r="O16" i="5" s="1"/>
  <c r="M8" i="5"/>
  <c r="L8" i="5"/>
  <c r="K8" i="5"/>
  <c r="J8" i="5"/>
  <c r="P8" i="5" s="1"/>
  <c r="I8" i="5"/>
  <c r="H8" i="5"/>
  <c r="G8" i="5"/>
  <c r="F8" i="5"/>
  <c r="E8" i="5"/>
  <c r="D8" i="5"/>
  <c r="O8" i="5" s="1"/>
  <c r="N138" i="5"/>
  <c r="M138" i="5"/>
  <c r="L138" i="5"/>
  <c r="B114" i="5"/>
  <c r="S89" i="5" s="1"/>
  <c r="F114" i="5" s="1"/>
  <c r="B152" i="5" s="1"/>
  <c r="F76" i="5"/>
  <c r="A50" i="5"/>
  <c r="P41" i="5"/>
  <c r="O41" i="5"/>
  <c r="P40" i="5"/>
  <c r="O40" i="5"/>
  <c r="P39" i="5"/>
  <c r="O39" i="5"/>
  <c r="P38" i="5"/>
  <c r="O38" i="5"/>
  <c r="K48" i="5"/>
  <c r="B62" i="5"/>
  <c r="A49" i="5"/>
  <c r="O21" i="5"/>
  <c r="P21" i="5"/>
  <c r="A48" i="5"/>
  <c r="O19" i="5"/>
  <c r="P19" i="5"/>
  <c r="P18" i="5"/>
  <c r="O18" i="5"/>
  <c r="P17" i="5"/>
  <c r="O15" i="5"/>
  <c r="P15" i="5"/>
  <c r="P14" i="5"/>
  <c r="O14" i="5"/>
  <c r="P13" i="5"/>
  <c r="P12" i="5"/>
  <c r="O12" i="5"/>
  <c r="O11" i="5"/>
  <c r="P11" i="5"/>
  <c r="P10" i="5"/>
  <c r="O10" i="5"/>
  <c r="P9" i="5"/>
  <c r="O7" i="5"/>
  <c r="P7" i="5"/>
  <c r="P6" i="5"/>
  <c r="O6" i="5"/>
  <c r="P5" i="5"/>
  <c r="P4" i="5"/>
  <c r="O4" i="5"/>
  <c r="O3" i="5"/>
  <c r="P3" i="5"/>
  <c r="P2" i="5"/>
  <c r="O2" i="5"/>
  <c r="P42" i="5"/>
  <c r="P89" i="5" s="1"/>
  <c r="P152" i="5" s="1"/>
  <c r="K62" i="5"/>
  <c r="F142" i="4"/>
  <c r="D142" i="4"/>
  <c r="M141" i="4" s="1"/>
  <c r="F141" i="4"/>
  <c r="D141" i="4"/>
  <c r="M140" i="4" s="1"/>
  <c r="F140" i="4"/>
  <c r="D140" i="4"/>
  <c r="M139" i="4" s="1"/>
  <c r="F139" i="4"/>
  <c r="D139" i="4"/>
  <c r="F138" i="4"/>
  <c r="D138" i="4"/>
  <c r="F135" i="4"/>
  <c r="D135" i="4"/>
  <c r="F134" i="4"/>
  <c r="D134" i="4"/>
  <c r="F133" i="4"/>
  <c r="D133" i="4"/>
  <c r="F132" i="4"/>
  <c r="D132" i="4"/>
  <c r="F130" i="4"/>
  <c r="D130" i="4"/>
  <c r="F126" i="4"/>
  <c r="D126" i="4"/>
  <c r="M41" i="4"/>
  <c r="L41" i="4"/>
  <c r="K41" i="4"/>
  <c r="J41" i="4"/>
  <c r="I41" i="4"/>
  <c r="H41" i="4"/>
  <c r="G41" i="4"/>
  <c r="E41" i="4"/>
  <c r="D41" i="4"/>
  <c r="M40" i="4"/>
  <c r="L40" i="4"/>
  <c r="K40" i="4"/>
  <c r="L39" i="4"/>
  <c r="K39" i="4"/>
  <c r="J39" i="4"/>
  <c r="I39" i="4"/>
  <c r="G39" i="4"/>
  <c r="D39" i="4"/>
  <c r="M38" i="4"/>
  <c r="L38" i="4"/>
  <c r="K38" i="4"/>
  <c r="I38" i="4"/>
  <c r="H38" i="4"/>
  <c r="G38" i="4"/>
  <c r="E38" i="4"/>
  <c r="D38" i="4"/>
  <c r="M37" i="4"/>
  <c r="L37" i="4"/>
  <c r="K37" i="4"/>
  <c r="J37" i="4"/>
  <c r="P37" i="4" s="1"/>
  <c r="I37" i="4"/>
  <c r="H37" i="4"/>
  <c r="G37" i="4"/>
  <c r="F37" i="4"/>
  <c r="E37" i="4"/>
  <c r="D37" i="4"/>
  <c r="M36" i="4"/>
  <c r="L36" i="4"/>
  <c r="K36" i="4"/>
  <c r="J36" i="4"/>
  <c r="I36" i="4"/>
  <c r="H36" i="4"/>
  <c r="G36" i="4"/>
  <c r="F36" i="4"/>
  <c r="E36" i="4"/>
  <c r="D36" i="4"/>
  <c r="M35" i="4"/>
  <c r="L35" i="4"/>
  <c r="K35" i="4"/>
  <c r="J35" i="4"/>
  <c r="P35" i="4" s="1"/>
  <c r="I35" i="4"/>
  <c r="H35" i="4"/>
  <c r="G35" i="4"/>
  <c r="F35" i="4"/>
  <c r="E35" i="4"/>
  <c r="D35" i="4"/>
  <c r="M34" i="4"/>
  <c r="L34" i="4"/>
  <c r="K34" i="4"/>
  <c r="J34" i="4"/>
  <c r="P34" i="4" s="1"/>
  <c r="I34" i="4"/>
  <c r="H34" i="4"/>
  <c r="G34" i="4"/>
  <c r="F34" i="4"/>
  <c r="E34" i="4"/>
  <c r="D34" i="4"/>
  <c r="O34" i="4" s="1"/>
  <c r="M33" i="4"/>
  <c r="L33" i="4"/>
  <c r="K33" i="4"/>
  <c r="J33" i="4"/>
  <c r="P33" i="4" s="1"/>
  <c r="I33" i="4"/>
  <c r="H33" i="4"/>
  <c r="G33" i="4"/>
  <c r="F33" i="4"/>
  <c r="E33" i="4"/>
  <c r="D33" i="4"/>
  <c r="M32" i="4"/>
  <c r="L32" i="4"/>
  <c r="K32" i="4"/>
  <c r="J32" i="4"/>
  <c r="P32" i="4" s="1"/>
  <c r="I32" i="4"/>
  <c r="H32" i="4"/>
  <c r="G32" i="4"/>
  <c r="F32" i="4"/>
  <c r="E32" i="4"/>
  <c r="D32" i="4"/>
  <c r="M31" i="4"/>
  <c r="L31" i="4"/>
  <c r="K31" i="4"/>
  <c r="J31" i="4"/>
  <c r="P31" i="4" s="1"/>
  <c r="I31" i="4"/>
  <c r="H31" i="4"/>
  <c r="G31" i="4"/>
  <c r="F31" i="4"/>
  <c r="E31" i="4"/>
  <c r="D31" i="4"/>
  <c r="M30" i="4"/>
  <c r="L30" i="4"/>
  <c r="K30" i="4"/>
  <c r="J30" i="4"/>
  <c r="P30" i="4" s="1"/>
  <c r="I30" i="4"/>
  <c r="H30" i="4"/>
  <c r="G30" i="4"/>
  <c r="F30" i="4"/>
  <c r="E30" i="4"/>
  <c r="D30" i="4"/>
  <c r="O30" i="4" s="1"/>
  <c r="M29" i="4"/>
  <c r="L29" i="4"/>
  <c r="K29" i="4"/>
  <c r="J29" i="4"/>
  <c r="P29" i="4" s="1"/>
  <c r="I29" i="4"/>
  <c r="H29" i="4"/>
  <c r="G29" i="4"/>
  <c r="F29" i="4"/>
  <c r="E29" i="4"/>
  <c r="D29" i="4"/>
  <c r="M28" i="4"/>
  <c r="L28" i="4"/>
  <c r="K28" i="4"/>
  <c r="H28" i="4"/>
  <c r="G28" i="4"/>
  <c r="F28" i="4"/>
  <c r="E28" i="4"/>
  <c r="D28" i="4"/>
  <c r="M27" i="4"/>
  <c r="L27" i="4"/>
  <c r="K27" i="4"/>
  <c r="J27" i="4"/>
  <c r="P27" i="4" s="1"/>
  <c r="I27" i="4"/>
  <c r="H27" i="4"/>
  <c r="G27" i="4"/>
  <c r="F27" i="4"/>
  <c r="E27" i="4"/>
  <c r="D27" i="4"/>
  <c r="M26" i="4"/>
  <c r="L26" i="4"/>
  <c r="K26" i="4"/>
  <c r="J26" i="4"/>
  <c r="I26" i="4"/>
  <c r="H26" i="4"/>
  <c r="G26" i="4"/>
  <c r="F26" i="4"/>
  <c r="E26" i="4"/>
  <c r="D26" i="4"/>
  <c r="M25" i="4"/>
  <c r="L25" i="4"/>
  <c r="K25" i="4"/>
  <c r="J25" i="4"/>
  <c r="I25" i="4"/>
  <c r="H25" i="4"/>
  <c r="G25" i="4"/>
  <c r="F25" i="4"/>
  <c r="E25" i="4"/>
  <c r="D25" i="4"/>
  <c r="M24" i="4"/>
  <c r="L24" i="4"/>
  <c r="K24" i="4"/>
  <c r="J24" i="4"/>
  <c r="P24" i="4" s="1"/>
  <c r="I24" i="4"/>
  <c r="H24" i="4"/>
  <c r="G24" i="4"/>
  <c r="F24" i="4"/>
  <c r="E24" i="4"/>
  <c r="D24" i="4"/>
  <c r="M23" i="4"/>
  <c r="L23" i="4"/>
  <c r="K23" i="4"/>
  <c r="J23" i="4"/>
  <c r="P23" i="4" s="1"/>
  <c r="I23" i="4"/>
  <c r="H23" i="4"/>
  <c r="G23" i="4"/>
  <c r="F23" i="4"/>
  <c r="E23" i="4"/>
  <c r="D23" i="4"/>
  <c r="M22" i="4"/>
  <c r="L22" i="4"/>
  <c r="K22" i="4"/>
  <c r="J22" i="4"/>
  <c r="P22" i="4" s="1"/>
  <c r="I22" i="4"/>
  <c r="H22" i="4"/>
  <c r="G22" i="4"/>
  <c r="F22" i="4"/>
  <c r="E22" i="4"/>
  <c r="D22" i="4"/>
  <c r="O22" i="4" s="1"/>
  <c r="M20" i="4"/>
  <c r="L20" i="4"/>
  <c r="K20" i="4"/>
  <c r="J20" i="4"/>
  <c r="P20" i="4" s="1"/>
  <c r="I20" i="4"/>
  <c r="H20" i="4"/>
  <c r="G20" i="4"/>
  <c r="F20" i="4"/>
  <c r="E20" i="4"/>
  <c r="D20" i="4"/>
  <c r="M16" i="4"/>
  <c r="L16" i="4"/>
  <c r="K16" i="4"/>
  <c r="J16" i="4"/>
  <c r="P16" i="4" s="1"/>
  <c r="I16" i="4"/>
  <c r="H16" i="4"/>
  <c r="G16" i="4"/>
  <c r="F16" i="4"/>
  <c r="E16" i="4"/>
  <c r="D16" i="4"/>
  <c r="O16" i="4" s="1"/>
  <c r="M8" i="4"/>
  <c r="L8" i="4"/>
  <c r="K8" i="4"/>
  <c r="J8" i="4"/>
  <c r="P8" i="4" s="1"/>
  <c r="I8" i="4"/>
  <c r="H8" i="4"/>
  <c r="G8" i="4"/>
  <c r="F8" i="4"/>
  <c r="E8" i="4"/>
  <c r="D8" i="4"/>
  <c r="O8" i="4" s="1"/>
  <c r="L141" i="4"/>
  <c r="N141" i="4"/>
  <c r="N140" i="4"/>
  <c r="L140" i="4"/>
  <c r="N139" i="4"/>
  <c r="L139" i="4"/>
  <c r="N138" i="4"/>
  <c r="M138" i="4"/>
  <c r="L138" i="4"/>
  <c r="B114" i="4"/>
  <c r="S89" i="4" s="1"/>
  <c r="F114" i="4" s="1"/>
  <c r="B152" i="4" s="1"/>
  <c r="F76" i="4"/>
  <c r="P41" i="4"/>
  <c r="O41" i="4"/>
  <c r="P40" i="4"/>
  <c r="O40" i="4"/>
  <c r="P39" i="4"/>
  <c r="O39" i="4"/>
  <c r="P38" i="4"/>
  <c r="O38" i="4"/>
  <c r="P28" i="4"/>
  <c r="K48" i="4"/>
  <c r="B62" i="4"/>
  <c r="A49" i="4"/>
  <c r="P21" i="4"/>
  <c r="A48" i="4"/>
  <c r="P19" i="4"/>
  <c r="O19" i="4"/>
  <c r="O18" i="4"/>
  <c r="P17" i="4"/>
  <c r="O17" i="4"/>
  <c r="P15" i="4"/>
  <c r="O15" i="4"/>
  <c r="O14" i="4"/>
  <c r="P14" i="4"/>
  <c r="P13" i="4"/>
  <c r="O13" i="4"/>
  <c r="O12" i="4"/>
  <c r="P12" i="4"/>
  <c r="P11" i="4"/>
  <c r="O11" i="4"/>
  <c r="O10" i="4"/>
  <c r="P10" i="4"/>
  <c r="P9" i="4"/>
  <c r="O9" i="4"/>
  <c r="P7" i="4"/>
  <c r="O7" i="4"/>
  <c r="O6" i="4"/>
  <c r="P6" i="4"/>
  <c r="P5" i="4"/>
  <c r="O5" i="4"/>
  <c r="O4" i="4"/>
  <c r="P4" i="4"/>
  <c r="P3" i="4"/>
  <c r="O3" i="4"/>
  <c r="O2" i="4"/>
  <c r="P2" i="4"/>
  <c r="P42" i="4"/>
  <c r="P89" i="4" s="1"/>
  <c r="P152" i="4" s="1"/>
  <c r="K62" i="4"/>
  <c r="M143" i="36" l="1"/>
  <c r="L143" i="36"/>
  <c r="L142" i="36"/>
  <c r="M142" i="36"/>
  <c r="N142" i="36"/>
  <c r="P25" i="36"/>
  <c r="O25" i="36"/>
  <c r="N143" i="36"/>
  <c r="P36" i="36"/>
  <c r="O36" i="36"/>
  <c r="P6" i="36"/>
  <c r="P10" i="36"/>
  <c r="P14" i="36"/>
  <c r="P18" i="36"/>
  <c r="O21" i="36"/>
  <c r="O29" i="36"/>
  <c r="O33" i="36"/>
  <c r="O37" i="36"/>
  <c r="A50" i="36"/>
  <c r="F62" i="36"/>
  <c r="O4" i="36"/>
  <c r="O8" i="36"/>
  <c r="O12" i="36"/>
  <c r="O16" i="36"/>
  <c r="A76" i="36"/>
  <c r="B89" i="36"/>
  <c r="B42" i="36" s="1"/>
  <c r="O3" i="36"/>
  <c r="N142" i="35"/>
  <c r="N143" i="35"/>
  <c r="L143" i="35"/>
  <c r="M143" i="35"/>
  <c r="L142" i="35"/>
  <c r="B89" i="35"/>
  <c r="B42" i="35" s="1"/>
  <c r="M142" i="35"/>
  <c r="P25" i="35"/>
  <c r="O25" i="35"/>
  <c r="P6" i="35"/>
  <c r="P10" i="35"/>
  <c r="P14" i="35"/>
  <c r="P18" i="35"/>
  <c r="A50" i="35"/>
  <c r="B62" i="35"/>
  <c r="O20" i="35"/>
  <c r="O24" i="35"/>
  <c r="O28" i="35"/>
  <c r="O32" i="35"/>
  <c r="O36" i="35"/>
  <c r="F62" i="35"/>
  <c r="O4" i="35"/>
  <c r="O8" i="35"/>
  <c r="O12" i="35"/>
  <c r="O16" i="35"/>
  <c r="K62" i="35"/>
  <c r="O31" i="35"/>
  <c r="O22" i="35"/>
  <c r="O30" i="35"/>
  <c r="O34" i="35"/>
  <c r="N143" i="34"/>
  <c r="L143" i="34"/>
  <c r="M142" i="34"/>
  <c r="M143" i="34"/>
  <c r="N142" i="34"/>
  <c r="L142" i="34"/>
  <c r="P25" i="34"/>
  <c r="O25" i="34"/>
  <c r="P26" i="34"/>
  <c r="O26" i="34"/>
  <c r="P2" i="34"/>
  <c r="P6" i="34"/>
  <c r="P10" i="34"/>
  <c r="P14" i="34"/>
  <c r="P18" i="34"/>
  <c r="O5" i="34"/>
  <c r="O9" i="34"/>
  <c r="O13" i="34"/>
  <c r="O17" i="34"/>
  <c r="F62" i="34"/>
  <c r="O23" i="34"/>
  <c r="O27" i="34"/>
  <c r="O31" i="34"/>
  <c r="O35" i="34"/>
  <c r="A76" i="34"/>
  <c r="B89" i="34"/>
  <c r="B42" i="34" s="1"/>
  <c r="P27" i="34"/>
  <c r="L143" i="33"/>
  <c r="M143" i="33"/>
  <c r="N143" i="33"/>
  <c r="L142" i="33"/>
  <c r="N142" i="33"/>
  <c r="B89" i="33"/>
  <c r="B42" i="33" s="1"/>
  <c r="M142" i="33"/>
  <c r="O25" i="33"/>
  <c r="P36" i="33"/>
  <c r="P18" i="33"/>
  <c r="O21" i="33"/>
  <c r="O29" i="33"/>
  <c r="O33" i="33"/>
  <c r="O37" i="33"/>
  <c r="A50" i="33"/>
  <c r="F62" i="33"/>
  <c r="O4" i="33"/>
  <c r="O8" i="33"/>
  <c r="O12" i="33"/>
  <c r="O16" i="33"/>
  <c r="P25" i="33"/>
  <c r="O27" i="33"/>
  <c r="O31" i="33"/>
  <c r="A76" i="33"/>
  <c r="P31" i="33"/>
  <c r="M143" i="32"/>
  <c r="L143" i="32"/>
  <c r="L142" i="32"/>
  <c r="M142" i="32"/>
  <c r="S89" i="32"/>
  <c r="F114" i="32" s="1"/>
  <c r="B152" i="32" s="1"/>
  <c r="N142" i="32"/>
  <c r="N143" i="32"/>
  <c r="P25" i="32"/>
  <c r="O25" i="32"/>
  <c r="P6" i="32"/>
  <c r="P10" i="32"/>
  <c r="P14" i="32"/>
  <c r="P18" i="32"/>
  <c r="A50" i="32"/>
  <c r="B62" i="32"/>
  <c r="O20" i="32"/>
  <c r="O24" i="32"/>
  <c r="O28" i="32"/>
  <c r="O32" i="32"/>
  <c r="O36" i="32"/>
  <c r="F62" i="32"/>
  <c r="K62" i="32"/>
  <c r="O27" i="32"/>
  <c r="O22" i="32"/>
  <c r="O30" i="32"/>
  <c r="O34" i="32"/>
  <c r="N142" i="31"/>
  <c r="N143" i="31"/>
  <c r="M143" i="31"/>
  <c r="L143" i="31"/>
  <c r="L142" i="31"/>
  <c r="M142" i="31"/>
  <c r="P25" i="31"/>
  <c r="O25" i="31"/>
  <c r="P2" i="31"/>
  <c r="P6" i="31"/>
  <c r="P10" i="31"/>
  <c r="P14" i="31"/>
  <c r="P18" i="31"/>
  <c r="A50" i="31"/>
  <c r="B62" i="31"/>
  <c r="O20" i="31"/>
  <c r="O24" i="31"/>
  <c r="O28" i="31"/>
  <c r="O32" i="31"/>
  <c r="O36" i="31"/>
  <c r="F62" i="31"/>
  <c r="O27" i="31"/>
  <c r="O31" i="31"/>
  <c r="A76" i="31"/>
  <c r="B89" i="31"/>
  <c r="B42" i="31" s="1"/>
  <c r="L142" i="30"/>
  <c r="N142" i="30"/>
  <c r="N143" i="30"/>
  <c r="M142" i="30"/>
  <c r="L143" i="30"/>
  <c r="M143" i="30"/>
  <c r="S89" i="30"/>
  <c r="F114" i="30" s="1"/>
  <c r="B152" i="30" s="1"/>
  <c r="A50" i="30"/>
  <c r="B62" i="30"/>
  <c r="O20" i="30"/>
  <c r="O24" i="30"/>
  <c r="O28" i="30"/>
  <c r="O32" i="30"/>
  <c r="F62" i="30"/>
  <c r="P25" i="30"/>
  <c r="K62" i="30"/>
  <c r="P31" i="30"/>
  <c r="A48" i="30"/>
  <c r="O22" i="30"/>
  <c r="O26" i="30"/>
  <c r="O30" i="30"/>
  <c r="O34" i="30"/>
  <c r="M142" i="29"/>
  <c r="M143" i="29"/>
  <c r="L143" i="29"/>
  <c r="L142" i="29"/>
  <c r="S89" i="29"/>
  <c r="F114" i="29" s="1"/>
  <c r="B152" i="29" s="1"/>
  <c r="N142" i="29"/>
  <c r="P26" i="29"/>
  <c r="O26" i="29"/>
  <c r="N143" i="29"/>
  <c r="P25" i="29"/>
  <c r="O25" i="29"/>
  <c r="P6" i="29"/>
  <c r="P10" i="29"/>
  <c r="P14" i="29"/>
  <c r="P18" i="29"/>
  <c r="A50" i="29"/>
  <c r="B62" i="29"/>
  <c r="O20" i="29"/>
  <c r="O24" i="29"/>
  <c r="O28" i="29"/>
  <c r="O32" i="29"/>
  <c r="F62" i="29"/>
  <c r="O23" i="29"/>
  <c r="O27" i="29"/>
  <c r="O31" i="29"/>
  <c r="O35" i="29"/>
  <c r="A76" i="29"/>
  <c r="P27" i="29"/>
  <c r="L143" i="28"/>
  <c r="M143" i="28"/>
  <c r="L142" i="28"/>
  <c r="M142" i="28"/>
  <c r="S89" i="28"/>
  <c r="F114" i="28" s="1"/>
  <c r="B152" i="28" s="1"/>
  <c r="N142" i="28"/>
  <c r="O25" i="28"/>
  <c r="N143" i="28"/>
  <c r="O5" i="28"/>
  <c r="O9" i="28"/>
  <c r="O13" i="28"/>
  <c r="O17" i="28"/>
  <c r="F62" i="28"/>
  <c r="P25" i="28"/>
  <c r="O27" i="28"/>
  <c r="A76" i="28"/>
  <c r="L142" i="27"/>
  <c r="M143" i="27"/>
  <c r="M142" i="27"/>
  <c r="P25" i="27"/>
  <c r="O25" i="27"/>
  <c r="N142" i="27"/>
  <c r="N143" i="27"/>
  <c r="L143" i="27"/>
  <c r="O26" i="27"/>
  <c r="P2" i="27"/>
  <c r="P6" i="27"/>
  <c r="P10" i="27"/>
  <c r="P14" i="27"/>
  <c r="P18" i="27"/>
  <c r="A50" i="27"/>
  <c r="O5" i="27"/>
  <c r="O9" i="27"/>
  <c r="O13" i="27"/>
  <c r="O17" i="27"/>
  <c r="P26" i="27"/>
  <c r="F62" i="27"/>
  <c r="O23" i="27"/>
  <c r="O27" i="27"/>
  <c r="O31" i="27"/>
  <c r="O35" i="27"/>
  <c r="A76" i="27"/>
  <c r="B89" i="27"/>
  <c r="B42" i="27" s="1"/>
  <c r="O3" i="27"/>
  <c r="P27" i="27"/>
  <c r="N143" i="26"/>
  <c r="L143" i="26"/>
  <c r="M143" i="26"/>
  <c r="L142" i="26"/>
  <c r="M142" i="26"/>
  <c r="N142" i="26"/>
  <c r="P36" i="26"/>
  <c r="O36" i="26"/>
  <c r="P25" i="26"/>
  <c r="O25" i="26"/>
  <c r="P6" i="26"/>
  <c r="P10" i="26"/>
  <c r="P14" i="26"/>
  <c r="P18" i="26"/>
  <c r="O21" i="26"/>
  <c r="O29" i="26"/>
  <c r="O33" i="26"/>
  <c r="O37" i="26"/>
  <c r="A50" i="26"/>
  <c r="F62" i="26"/>
  <c r="K62" i="26"/>
  <c r="B89" i="26"/>
  <c r="B42" i="26" s="1"/>
  <c r="O22" i="26"/>
  <c r="O30" i="26"/>
  <c r="O34" i="26"/>
  <c r="N142" i="25"/>
  <c r="L142" i="25"/>
  <c r="N143" i="25"/>
  <c r="L143" i="25"/>
  <c r="M143" i="25"/>
  <c r="M142" i="25"/>
  <c r="P25" i="25"/>
  <c r="O25" i="25"/>
  <c r="P26" i="25"/>
  <c r="P6" i="25"/>
  <c r="P10" i="25"/>
  <c r="P14" i="25"/>
  <c r="P18" i="25"/>
  <c r="O21" i="25"/>
  <c r="O29" i="25"/>
  <c r="O33" i="25"/>
  <c r="O37" i="25"/>
  <c r="A50" i="25"/>
  <c r="P37" i="25"/>
  <c r="F62" i="25"/>
  <c r="O26" i="25"/>
  <c r="O23" i="25"/>
  <c r="O27" i="25"/>
  <c r="O31" i="25"/>
  <c r="O35" i="25"/>
  <c r="A76" i="25"/>
  <c r="B89" i="25"/>
  <c r="B42" i="25" s="1"/>
  <c r="O3" i="25"/>
  <c r="O10" i="25"/>
  <c r="L143" i="23"/>
  <c r="L142" i="23"/>
  <c r="N143" i="23"/>
  <c r="M143" i="23"/>
  <c r="M142" i="23"/>
  <c r="S89" i="23"/>
  <c r="F114" i="23" s="1"/>
  <c r="B152" i="23" s="1"/>
  <c r="N142" i="23"/>
  <c r="P25" i="23"/>
  <c r="O25" i="23"/>
  <c r="P6" i="23"/>
  <c r="P10" i="23"/>
  <c r="P14" i="23"/>
  <c r="P18" i="23"/>
  <c r="A50" i="23"/>
  <c r="B62" i="23"/>
  <c r="O20" i="23"/>
  <c r="O24" i="23"/>
  <c r="O28" i="23"/>
  <c r="O32" i="23"/>
  <c r="O36" i="23"/>
  <c r="F62" i="23"/>
  <c r="K62" i="23"/>
  <c r="A48" i="23"/>
  <c r="O22" i="23"/>
  <c r="O30" i="23"/>
  <c r="O34" i="23"/>
  <c r="O10" i="23"/>
  <c r="L142" i="22"/>
  <c r="L143" i="22"/>
  <c r="M143" i="22"/>
  <c r="M142" i="22"/>
  <c r="N142" i="22"/>
  <c r="N143" i="22"/>
  <c r="A50" i="22"/>
  <c r="O20" i="22"/>
  <c r="O24" i="22"/>
  <c r="O28" i="22"/>
  <c r="O32" i="22"/>
  <c r="F62" i="22"/>
  <c r="K62" i="22"/>
  <c r="B89" i="22"/>
  <c r="B42" i="22" s="1"/>
  <c r="O22" i="22"/>
  <c r="O26" i="22"/>
  <c r="O30" i="22"/>
  <c r="O34" i="22"/>
  <c r="M143" i="21"/>
  <c r="M142" i="21"/>
  <c r="L143" i="21"/>
  <c r="N142" i="21"/>
  <c r="N143" i="21"/>
  <c r="A50" i="21"/>
  <c r="B62" i="21"/>
  <c r="O20" i="21"/>
  <c r="O24" i="21"/>
  <c r="O28" i="21"/>
  <c r="O32" i="21"/>
  <c r="F62" i="21"/>
  <c r="K62" i="21"/>
  <c r="B89" i="21"/>
  <c r="B42" i="21" s="1"/>
  <c r="A48" i="21"/>
  <c r="O22" i="21"/>
  <c r="O26" i="21"/>
  <c r="O30" i="21"/>
  <c r="O34" i="21"/>
  <c r="M143" i="20"/>
  <c r="L143" i="20"/>
  <c r="L142" i="20"/>
  <c r="B89" i="20"/>
  <c r="B42" i="20" s="1"/>
  <c r="N142" i="20"/>
  <c r="N143" i="20"/>
  <c r="P25" i="20"/>
  <c r="O25" i="20"/>
  <c r="M142" i="20"/>
  <c r="P6" i="20"/>
  <c r="P10" i="20"/>
  <c r="P14" i="20"/>
  <c r="P18" i="20"/>
  <c r="A50" i="20"/>
  <c r="O20" i="20"/>
  <c r="O24" i="20"/>
  <c r="O28" i="20"/>
  <c r="O32" i="20"/>
  <c r="O36" i="20"/>
  <c r="F62" i="20"/>
  <c r="K62" i="20"/>
  <c r="O31" i="20"/>
  <c r="O22" i="20"/>
  <c r="O30" i="20"/>
  <c r="O34" i="20"/>
  <c r="L142" i="19"/>
  <c r="N143" i="19"/>
  <c r="M143" i="19"/>
  <c r="L143" i="19"/>
  <c r="M142" i="19"/>
  <c r="N142" i="19"/>
  <c r="S89" i="19"/>
  <c r="F114" i="19" s="1"/>
  <c r="B152" i="19" s="1"/>
  <c r="A50" i="19"/>
  <c r="B62" i="19"/>
  <c r="O20" i="19"/>
  <c r="O24" i="19"/>
  <c r="O28" i="19"/>
  <c r="O32" i="19"/>
  <c r="F62" i="19"/>
  <c r="P25" i="19"/>
  <c r="K62" i="19"/>
  <c r="P31" i="19"/>
  <c r="A48" i="19"/>
  <c r="O22" i="19"/>
  <c r="O26" i="19"/>
  <c r="O30" i="19"/>
  <c r="O34" i="19"/>
  <c r="N142" i="18"/>
  <c r="N143" i="18"/>
  <c r="L143" i="18"/>
  <c r="L142" i="18"/>
  <c r="P25" i="18"/>
  <c r="O25" i="18"/>
  <c r="M143" i="18"/>
  <c r="M142" i="18"/>
  <c r="P6" i="18"/>
  <c r="P10" i="18"/>
  <c r="P14" i="18"/>
  <c r="P18" i="18"/>
  <c r="A50" i="18"/>
  <c r="B62" i="18"/>
  <c r="O20" i="18"/>
  <c r="O24" i="18"/>
  <c r="O28" i="18"/>
  <c r="O32" i="18"/>
  <c r="O36" i="18"/>
  <c r="F62" i="18"/>
  <c r="K62" i="18"/>
  <c r="O31" i="18"/>
  <c r="B89" i="18"/>
  <c r="B42" i="18" s="1"/>
  <c r="O22" i="18"/>
  <c r="O30" i="18"/>
  <c r="O34" i="18"/>
  <c r="N143" i="17"/>
  <c r="M142" i="17"/>
  <c r="M143" i="17"/>
  <c r="N142" i="17"/>
  <c r="P25" i="17"/>
  <c r="O25" i="17"/>
  <c r="P26" i="17"/>
  <c r="O26" i="17"/>
  <c r="L143" i="17"/>
  <c r="L142" i="17"/>
  <c r="P2" i="17"/>
  <c r="P6" i="17"/>
  <c r="P10" i="17"/>
  <c r="P14" i="17"/>
  <c r="P18" i="17"/>
  <c r="O21" i="17"/>
  <c r="O29" i="17"/>
  <c r="O33" i="17"/>
  <c r="O37" i="17"/>
  <c r="A50" i="17"/>
  <c r="F62" i="17"/>
  <c r="O23" i="17"/>
  <c r="O27" i="17"/>
  <c r="O31" i="17"/>
  <c r="O35" i="17"/>
  <c r="A76" i="17"/>
  <c r="B89" i="17"/>
  <c r="B42" i="17" s="1"/>
  <c r="P27" i="17"/>
  <c r="M143" i="16"/>
  <c r="M142" i="16"/>
  <c r="S89" i="16"/>
  <c r="F114" i="16" s="1"/>
  <c r="B152" i="16" s="1"/>
  <c r="N142" i="16"/>
  <c r="N143" i="16"/>
  <c r="P25" i="16"/>
  <c r="O25" i="16"/>
  <c r="L143" i="16"/>
  <c r="P10" i="16"/>
  <c r="O21" i="16"/>
  <c r="O29" i="16"/>
  <c r="O33" i="16"/>
  <c r="O37" i="16"/>
  <c r="A50" i="16"/>
  <c r="O4" i="16"/>
  <c r="O8" i="16"/>
  <c r="O12" i="16"/>
  <c r="O16" i="16"/>
  <c r="O23" i="16"/>
  <c r="O27" i="16"/>
  <c r="O31" i="16"/>
  <c r="O35" i="16"/>
  <c r="O3" i="16"/>
  <c r="P27" i="16"/>
  <c r="L143" i="15"/>
  <c r="M143" i="15"/>
  <c r="L142" i="15"/>
  <c r="M142" i="15"/>
  <c r="B89" i="15"/>
  <c r="B42" i="15" s="1"/>
  <c r="P26" i="15"/>
  <c r="O25" i="15"/>
  <c r="N142" i="15"/>
  <c r="N143" i="15"/>
  <c r="O5" i="15"/>
  <c r="O9" i="15"/>
  <c r="O13" i="15"/>
  <c r="O17" i="15"/>
  <c r="F62" i="15"/>
  <c r="P25" i="15"/>
  <c r="O26" i="15"/>
  <c r="K62" i="15"/>
  <c r="O27" i="15"/>
  <c r="A76" i="15"/>
  <c r="O22" i="15"/>
  <c r="O30" i="15"/>
  <c r="O34" i="15"/>
  <c r="N143" i="13"/>
  <c r="L143" i="13"/>
  <c r="M143" i="13"/>
  <c r="M142" i="13"/>
  <c r="N142" i="13"/>
  <c r="S89" i="13"/>
  <c r="F114" i="13" s="1"/>
  <c r="B152" i="13" s="1"/>
  <c r="L142" i="13"/>
  <c r="P25" i="13"/>
  <c r="O25" i="13"/>
  <c r="P6" i="13"/>
  <c r="P10" i="13"/>
  <c r="P14" i="13"/>
  <c r="P18" i="13"/>
  <c r="O21" i="13"/>
  <c r="O29" i="13"/>
  <c r="O33" i="13"/>
  <c r="O37" i="13"/>
  <c r="A50" i="13"/>
  <c r="F62" i="13"/>
  <c r="A76" i="13"/>
  <c r="N143" i="12"/>
  <c r="M143" i="12"/>
  <c r="L143" i="12"/>
  <c r="L142" i="12"/>
  <c r="M142" i="12"/>
  <c r="B89" i="12"/>
  <c r="B42" i="12" s="1"/>
  <c r="N142" i="12"/>
  <c r="O25" i="12"/>
  <c r="P25" i="12"/>
  <c r="O5" i="12"/>
  <c r="O9" i="12"/>
  <c r="O13" i="12"/>
  <c r="O17" i="12"/>
  <c r="F62" i="12"/>
  <c r="K62" i="12"/>
  <c r="O23" i="12"/>
  <c r="O27" i="12"/>
  <c r="O31" i="12"/>
  <c r="O35" i="12"/>
  <c r="A76" i="12"/>
  <c r="P27" i="12"/>
  <c r="M143" i="11"/>
  <c r="M142" i="11"/>
  <c r="N142" i="11"/>
  <c r="S89" i="11"/>
  <c r="F114" i="11" s="1"/>
  <c r="B152" i="11" s="1"/>
  <c r="N143" i="11"/>
  <c r="L142" i="11"/>
  <c r="O25" i="11"/>
  <c r="L143" i="11"/>
  <c r="P2" i="11"/>
  <c r="P6" i="11"/>
  <c r="P10" i="11"/>
  <c r="P14" i="11"/>
  <c r="P18" i="11"/>
  <c r="O21" i="11"/>
  <c r="O29" i="11"/>
  <c r="O33" i="11"/>
  <c r="O37" i="11"/>
  <c r="A50" i="11"/>
  <c r="O5" i="11"/>
  <c r="O9" i="11"/>
  <c r="O13" i="11"/>
  <c r="O17" i="11"/>
  <c r="F62" i="11"/>
  <c r="P25" i="11"/>
  <c r="A76" i="11"/>
  <c r="P31" i="11"/>
  <c r="O10" i="11"/>
  <c r="N142" i="10"/>
  <c r="M143" i="10"/>
  <c r="N143" i="10"/>
  <c r="L142" i="10"/>
  <c r="M142" i="10"/>
  <c r="O25" i="10"/>
  <c r="P25" i="10"/>
  <c r="O36" i="10"/>
  <c r="P13" i="10"/>
  <c r="P17" i="10"/>
  <c r="O20" i="10"/>
  <c r="O28" i="10"/>
  <c r="O32" i="10"/>
  <c r="O4" i="10"/>
  <c r="O8" i="10"/>
  <c r="O12" i="10"/>
  <c r="O16" i="10"/>
  <c r="P24" i="10"/>
  <c r="P36" i="10"/>
  <c r="K62" i="10"/>
  <c r="O9" i="10"/>
  <c r="A76" i="10"/>
  <c r="B89" i="10"/>
  <c r="B42" i="10" s="1"/>
  <c r="O5" i="10"/>
  <c r="M143" i="9"/>
  <c r="N143" i="9"/>
  <c r="M142" i="9"/>
  <c r="L143" i="9"/>
  <c r="L142" i="9"/>
  <c r="N142" i="9"/>
  <c r="B89" i="9"/>
  <c r="B42" i="9" s="1"/>
  <c r="P25" i="9"/>
  <c r="O25" i="9"/>
  <c r="O5" i="9"/>
  <c r="P9" i="9"/>
  <c r="P13" i="9"/>
  <c r="P17" i="9"/>
  <c r="O20" i="9"/>
  <c r="O24" i="9"/>
  <c r="O28" i="9"/>
  <c r="O32" i="9"/>
  <c r="O36" i="9"/>
  <c r="F62" i="9"/>
  <c r="O16" i="9"/>
  <c r="O27" i="9"/>
  <c r="O31" i="9"/>
  <c r="A76" i="9"/>
  <c r="P3" i="9"/>
  <c r="M142" i="8"/>
  <c r="N142" i="8"/>
  <c r="N143" i="8"/>
  <c r="L143" i="8"/>
  <c r="P25" i="8"/>
  <c r="O25" i="8"/>
  <c r="M143" i="8"/>
  <c r="L142" i="8"/>
  <c r="P26" i="8"/>
  <c r="O26" i="8"/>
  <c r="P6" i="8"/>
  <c r="P10" i="8"/>
  <c r="P14" i="8"/>
  <c r="P18" i="8"/>
  <c r="O21" i="8"/>
  <c r="O29" i="8"/>
  <c r="O33" i="8"/>
  <c r="O37" i="8"/>
  <c r="A50" i="8"/>
  <c r="O4" i="8"/>
  <c r="O8" i="8"/>
  <c r="O12" i="8"/>
  <c r="O16" i="8"/>
  <c r="O23" i="8"/>
  <c r="O27" i="8"/>
  <c r="O31" i="8"/>
  <c r="O35" i="8"/>
  <c r="A76" i="8"/>
  <c r="B89" i="8"/>
  <c r="B42" i="8" s="1"/>
  <c r="O3" i="8"/>
  <c r="P27" i="8"/>
  <c r="N142" i="7"/>
  <c r="M143" i="7"/>
  <c r="N143" i="7"/>
  <c r="L142" i="7"/>
  <c r="M142" i="7"/>
  <c r="B89" i="7"/>
  <c r="B42" i="7" s="1"/>
  <c r="O25" i="7"/>
  <c r="L143" i="7"/>
  <c r="P26" i="7"/>
  <c r="O5" i="7"/>
  <c r="O9" i="7"/>
  <c r="O13" i="7"/>
  <c r="O17" i="7"/>
  <c r="O4" i="7"/>
  <c r="O8" i="7"/>
  <c r="O12" i="7"/>
  <c r="O16" i="7"/>
  <c r="P25" i="7"/>
  <c r="O26" i="7"/>
  <c r="O23" i="7"/>
  <c r="O27" i="7"/>
  <c r="O31" i="7"/>
  <c r="O35" i="7"/>
  <c r="A76" i="7"/>
  <c r="O3" i="7"/>
  <c r="P27" i="7"/>
  <c r="N143" i="6"/>
  <c r="L143" i="6"/>
  <c r="M143" i="6"/>
  <c r="L142" i="6"/>
  <c r="M142" i="6"/>
  <c r="N142" i="6"/>
  <c r="P25" i="6"/>
  <c r="O25" i="6"/>
  <c r="P26" i="6"/>
  <c r="O5" i="6"/>
  <c r="O13" i="6"/>
  <c r="P9" i="6"/>
  <c r="P17" i="6"/>
  <c r="O20" i="6"/>
  <c r="O24" i="6"/>
  <c r="O28" i="6"/>
  <c r="O32" i="6"/>
  <c r="O36" i="6"/>
  <c r="F62" i="6"/>
  <c r="O4" i="6"/>
  <c r="O8" i="6"/>
  <c r="O12" i="6"/>
  <c r="O16" i="6"/>
  <c r="K62" i="6"/>
  <c r="B89" i="6"/>
  <c r="B42" i="6" s="1"/>
  <c r="P3" i="6"/>
  <c r="O22" i="6"/>
  <c r="O26" i="6"/>
  <c r="O30" i="6"/>
  <c r="O34" i="6"/>
  <c r="N142" i="5"/>
  <c r="M143" i="5"/>
  <c r="N143" i="5"/>
  <c r="M142" i="5"/>
  <c r="O25" i="5"/>
  <c r="L142" i="5"/>
  <c r="L143" i="5"/>
  <c r="O5" i="5"/>
  <c r="O9" i="5"/>
  <c r="O13" i="5"/>
  <c r="O17" i="5"/>
  <c r="P26" i="5"/>
  <c r="F62" i="5"/>
  <c r="P25" i="5"/>
  <c r="O26" i="5"/>
  <c r="O23" i="5"/>
  <c r="O27" i="5"/>
  <c r="O31" i="5"/>
  <c r="O35" i="5"/>
  <c r="A76" i="5"/>
  <c r="B89" i="5"/>
  <c r="B42" i="5" s="1"/>
  <c r="P27" i="5"/>
  <c r="N143" i="4"/>
  <c r="L143" i="4"/>
  <c r="M143" i="4"/>
  <c r="L142" i="4"/>
  <c r="M142" i="4"/>
  <c r="N142" i="4"/>
  <c r="B89" i="4"/>
  <c r="B42" i="4" s="1"/>
  <c r="P25" i="4"/>
  <c r="O25" i="4"/>
  <c r="P18" i="4"/>
  <c r="O21" i="4"/>
  <c r="O29" i="4"/>
  <c r="O33" i="4"/>
  <c r="O37" i="4"/>
  <c r="A50" i="4"/>
  <c r="O20" i="4"/>
  <c r="O24" i="4"/>
  <c r="O28" i="4"/>
  <c r="O32" i="4"/>
  <c r="F62" i="4"/>
  <c r="O23" i="4"/>
  <c r="O27" i="4"/>
  <c r="O31" i="4"/>
  <c r="O35" i="4"/>
  <c r="A76" i="4"/>
  <c r="P26" i="36" l="1"/>
  <c r="O26" i="36"/>
  <c r="P26" i="35"/>
  <c r="O26" i="35"/>
  <c r="P36" i="34"/>
  <c r="O36" i="34"/>
  <c r="P26" i="33"/>
  <c r="O26" i="33"/>
  <c r="P26" i="32"/>
  <c r="O26" i="32"/>
  <c r="P26" i="31"/>
  <c r="O26" i="31"/>
  <c r="P36" i="30"/>
  <c r="O36" i="30"/>
  <c r="P36" i="29"/>
  <c r="O36" i="29"/>
  <c r="P26" i="28"/>
  <c r="O26" i="28"/>
  <c r="P36" i="28"/>
  <c r="O36" i="28"/>
  <c r="P36" i="27"/>
  <c r="O36" i="27"/>
  <c r="P26" i="26"/>
  <c r="O26" i="26"/>
  <c r="P36" i="25"/>
  <c r="O36" i="25"/>
  <c r="P26" i="23"/>
  <c r="O26" i="23"/>
  <c r="P36" i="22"/>
  <c r="O36" i="22"/>
  <c r="P36" i="21"/>
  <c r="O36" i="21"/>
  <c r="P26" i="20"/>
  <c r="O26" i="20"/>
  <c r="P36" i="19"/>
  <c r="O36" i="19"/>
  <c r="P26" i="18"/>
  <c r="O26" i="18"/>
  <c r="P36" i="17"/>
  <c r="O36" i="17"/>
  <c r="P36" i="16"/>
  <c r="O36" i="16"/>
  <c r="P26" i="16"/>
  <c r="O26" i="16"/>
  <c r="P36" i="15"/>
  <c r="O36" i="15"/>
  <c r="P36" i="13"/>
  <c r="O36" i="13"/>
  <c r="P26" i="13"/>
  <c r="O26" i="13"/>
  <c r="P26" i="12"/>
  <c r="O26" i="12"/>
  <c r="P36" i="12"/>
  <c r="O36" i="12"/>
  <c r="P26" i="11"/>
  <c r="O26" i="11"/>
  <c r="P36" i="11"/>
  <c r="O36" i="11"/>
  <c r="P26" i="10"/>
  <c r="O26" i="10"/>
  <c r="P26" i="9"/>
  <c r="O26" i="9"/>
  <c r="P36" i="8"/>
  <c r="O36" i="8"/>
  <c r="O36" i="7"/>
  <c r="P36" i="7"/>
  <c r="P36" i="5"/>
  <c r="O36" i="5"/>
  <c r="P36" i="4"/>
  <c r="O36" i="4"/>
  <c r="P26" i="4"/>
  <c r="O26" i="4"/>
</calcChain>
</file>

<file path=xl/sharedStrings.xml><?xml version="1.0" encoding="utf-8"?>
<sst xmlns="http://schemas.openxmlformats.org/spreadsheetml/2006/main" count="5684" uniqueCount="647">
  <si>
    <t>Contents</t>
  </si>
  <si>
    <t>Notes</t>
  </si>
  <si>
    <t>Highlights</t>
  </si>
  <si>
    <t>Summary 2019</t>
  </si>
  <si>
    <t>Summary 2020</t>
  </si>
  <si>
    <t>Segmentation Criteria</t>
  </si>
  <si>
    <t>Sample rates</t>
  </si>
  <si>
    <t>Operating profit margin</t>
  </si>
  <si>
    <t>Net profit margin</t>
  </si>
  <si>
    <t>Segments in this document:</t>
  </si>
  <si>
    <t>Area VIIA demersal trawl</t>
  </si>
  <si>
    <t>Area VIIA nephrops over 250kW</t>
  </si>
  <si>
    <t>Area VIIA nephrops under 250kW</t>
  </si>
  <si>
    <t>Area VIIBCDEFGHK 24-40m</t>
  </si>
  <si>
    <t>Area VIIBCDEFGHK trawlers 10-24m</t>
  </si>
  <si>
    <t>Gill netters</t>
  </si>
  <si>
    <t>Inactive</t>
  </si>
  <si>
    <t>Longliners</t>
  </si>
  <si>
    <t>Low activity over 10m</t>
  </si>
  <si>
    <t>Low activity under 10m</t>
  </si>
  <si>
    <t>North Sea beam trawl over 300kW</t>
  </si>
  <si>
    <t>North Sea beam trawl under 300kW</t>
  </si>
  <si>
    <t>North Sea nephrops over 300kW</t>
  </si>
  <si>
    <t>North Sea nephrops under 300kW</t>
  </si>
  <si>
    <t>NSWOS demersal over 24m</t>
  </si>
  <si>
    <t>NSWOS demersal pair trawl seine</t>
  </si>
  <si>
    <t>NSWOS demersal seiners</t>
  </si>
  <si>
    <t>NSWOS demersal under 24m over 300kW</t>
  </si>
  <si>
    <t>NSWOS demersal under 24m under 300kW</t>
  </si>
  <si>
    <t>Pots and traps 10-12m</t>
  </si>
  <si>
    <t>Pots and traps over 12m</t>
  </si>
  <si>
    <t>South West beamers over 250kW</t>
  </si>
  <si>
    <t>South West beamers under 250kW</t>
  </si>
  <si>
    <t>UK scallop dredge over 15m</t>
  </si>
  <si>
    <t>UK scallop dredge under 15m</t>
  </si>
  <si>
    <t>Under 10m demersal trawl/seine</t>
  </si>
  <si>
    <t>Under 10m drift and/or fixed nets</t>
  </si>
  <si>
    <t>Under 10m pots and traps</t>
  </si>
  <si>
    <t>Under 10m using hooks</t>
  </si>
  <si>
    <t>WOS nephrops over 250kW</t>
  </si>
  <si>
    <t>WOS nephrops under 250kW</t>
  </si>
  <si>
    <t>Seafish fleet economic performance dataset 2010 - 2020</t>
  </si>
  <si>
    <t>Back to
home page</t>
  </si>
  <si>
    <t>This dataset contains financial, economic and operational performance indicators for approximately 30 UK fleet segments for the period 2010-2020.  2020 estimates are based on provisional official activity and landings statistics so should be considered as provisional estimates.  Once vessel accounts for 2020 have been collected and official data finalised, Seafish will publish new estimates for the year.</t>
  </si>
  <si>
    <t>How to use the dataset</t>
  </si>
  <si>
    <t xml:space="preserve">For each of the 30 UK fleet segments we have produced one table and nine graphs. </t>
  </si>
  <si>
    <t>Each table has four main sections (Segment totals, Vessel characteristics (average per vessel), productivity indicators and income, costs and profits (average per vessel)).</t>
  </si>
  <si>
    <t xml:space="preserve">Financial values are available as nominal and adjusted to 2020 values. The orange button on the top line allows you to switch between the two. Graphs and trend lines will adjust automatically. </t>
  </si>
  <si>
    <t xml:space="preserve">Adjusted values are calculated using Gross Domestic Product deflators consistent with DEFRA publications. Further details on this method can be found on the HM Treasury website (https://www.gov.uk/government/collections/gdp-deflators-at-market-prices-and-money-gdp). </t>
  </si>
  <si>
    <t>Quartiles</t>
  </si>
  <si>
    <t>For most segments we have produced a table that details the characteristics of the most and least profitable quartile (by operating profit margin) as well as the two quartiles inbetween.</t>
  </si>
  <si>
    <t>These tables are accompanied by three graphs.</t>
  </si>
  <si>
    <t xml:space="preserve">If a quartile is made-up of less than five vessels we are unable to publish said data due to confidentiality rules. </t>
  </si>
  <si>
    <t>Methodology</t>
  </si>
  <si>
    <t>Seafish produces the dataset by combining costs and earnings information from vessel accounts provide by vessel owners to the annual Seafish UK Fleet Survey with official effort, landings and capacity data for all active UK fishing vessels provided by the UK Marine Management Organisation (MMO).</t>
  </si>
  <si>
    <t>The outputs for all years are produced using a consistent methodology and fleet segmentation criteria so that trends in key indicators can be observed over time.  Note that vessels can be in different segments in different years if they change their gear, area or target species.</t>
  </si>
  <si>
    <t>First developed in 2008, the methodology was used to produce single year estimates that were reported in the 2008, 2009 and 2010 Seafish economic survey reports of the UK fishing fleet.</t>
  </si>
  <si>
    <t>The methodology was again revised in February 2013. The revision involved changing the way that the sample cost structure for each fleet segment was calculated, resulting in a more robust approach when dealing with outlying (far from average) cost data.</t>
  </si>
  <si>
    <t xml:space="preserve">This is a summary of the method we used to estimate the earnings, cost structure and profits of the UK fleet and fleet segments:                                                                                                           </t>
  </si>
  <si>
    <t xml:space="preserve">1. The UK fleet is stratified into approximately 30 relatively homogeneous fleet segments using MMO data on capacity, effort and landings for each vessel (see segmentation criteria worksheet). </t>
  </si>
  <si>
    <t xml:space="preserve">2. Seafish uses a self-selecting stratified sampling approach to obtain an adequate sample size of vessel financial accounts for each fleet segment. </t>
  </si>
  <si>
    <t>3. Costs and earnings data from vessel accounts are allocated to particular fleet segments following the segmentation procedure, giving approximately 30 costs and earnings segment samples. Sample sizes for vessel accounts in each fleet segment and each year can be found at the end of this workbook.</t>
  </si>
  <si>
    <t xml:space="preserve">4. To estimate the cost structure of all vessels in each fleet segment, we:                                                                                                                                                                                                                                                                                                                                  </t>
  </si>
  <si>
    <t xml:space="preserve">a) add together the individual cost and earnings items from vessel accounts within each segment sample to create a 'combined segment sample cost structure'. </t>
  </si>
  <si>
    <t xml:space="preserve">b) calculate the sum of each cost item in the 'combined segment sample cost structure' as a proportion of the sum of fishing income e.g. sum of gear cost is 10% of sum of fishing income, sum of commission is 3% of sum of fishing income etc.       </t>
  </si>
  <si>
    <t xml:space="preserve">c) calculate fuel costs and crew costs differently from the other costs. For crew share, we give a minimum £100 per day in instances where the actual observed amount within the 'combined segment sample cost structure' is lower. For fuel costs, the capacity (VCUs) and monthly fishing effort (days at sea) of each vessel are used to estimate monthly fuel consumption in litres, which is then combined with the average monthly red diesel price (excluding duty) to calculate the fuel cost estimates for each vessel. </t>
  </si>
  <si>
    <t>d) Following calculation of fuel cost and crew share, we apply the proportions from all the other costs within the 'combined segment sample cost structure' to the official declared fishing income for each vessel within each fleet segment, which enables use to calculate Gross Value Added, operating profit and net profit for each vessel.</t>
  </si>
  <si>
    <t>5. UK fleet totals and fleet segment totals and averages are then calculated from the estimates produced for each vessel.</t>
  </si>
  <si>
    <t>Where we have low sample size for a particular segment in a particular year we take into account previous years' estimates along with the reference year fuel price data to estimate costs.</t>
  </si>
  <si>
    <t>FTE Methodology</t>
  </si>
  <si>
    <t>Estimation of employment is based on the survey data collected from vessel owners during summer 2018 combined with MMO employment data. This provides details on the number of engaged crew both full-time and part-time. This sample information is then used to estimate total engaged crew based on the physical characteristics of the individual vessel and the vessels level of activity. Once total engaged crew has been estimated for all types of vessel in the UK fleet, FTE jobs are estimated based on the national and harmonised definitions.</t>
  </si>
  <si>
    <t>Data for the years 2010-2019 are estimates based on same year costs and earnings samples collected by Seafish. Data for 2020 are estimates using provisional official statistics on landings, capacity and effort, along with 2020 fuel price and previous years' cost structures. Therefore, 2020 estimates should be considered preliminary estimates. Seafish will revise these estimates when sufficient 2020 costs and earnings sample data are available later in the year.</t>
  </si>
  <si>
    <t xml:space="preserve">All the costs and profits data contained within these worksheets are Seafish estimates based on the latest available data. Additional vessel accounts data for latter years may become available and be incorporated into future analyses. </t>
  </si>
  <si>
    <t>Seafish 2010 to 2020 fleet economic data set Highlights</t>
  </si>
  <si>
    <t xml:space="preserve">Nb. 2020 estimates are based on provisional official data for 2020, 2020 fuel prices and 2019 cost structure derived from 2019 vessel accounts submitted to Seafish.  </t>
  </si>
  <si>
    <t>NOTE: All figures remarked upon above are nominal and not adjusted for inflation.</t>
  </si>
  <si>
    <t xml:space="preserve">Qualifying criteria for Seafish fleet segments </t>
  </si>
  <si>
    <t>Seafish Segments</t>
  </si>
  <si>
    <t>Main Area</t>
  </si>
  <si>
    <t>Main DAS Gear</t>
  </si>
  <si>
    <t>Main Species by value</t>
  </si>
  <si>
    <t>Main Gear Type</t>
  </si>
  <si>
    <t>Power Main Engine</t>
  </si>
  <si>
    <t>Vessel Length</t>
  </si>
  <si>
    <t>Value of landings</t>
  </si>
  <si>
    <t>Area VIIA demersal trawl over 10m</t>
  </si>
  <si>
    <t>VIIA</t>
  </si>
  <si>
    <t>Demersal trawls and seines</t>
  </si>
  <si>
    <t>&gt;= 10m</t>
  </si>
  <si>
    <t xml:space="preserve">Nephrops </t>
  </si>
  <si>
    <t>&gt;= 250 kW</t>
  </si>
  <si>
    <t>&lt;250 kW</t>
  </si>
  <si>
    <t>Area VIIb-k trawlers 10-24m</t>
  </si>
  <si>
    <t>VIIDE, VIIFG, VII other</t>
  </si>
  <si>
    <t>Not Nephrops</t>
  </si>
  <si>
    <t>&gt;= 10m &amp; &lt;24m</t>
  </si>
  <si>
    <t>Area VIIb-k trawlers 24-40m</t>
  </si>
  <si>
    <t>&gt;= 24m &amp; &lt;40m</t>
  </si>
  <si>
    <t xml:space="preserve">UK Gill netters over 10m </t>
  </si>
  <si>
    <t>Drift Nets and Fixed Nets</t>
  </si>
  <si>
    <t>UK Longliners over 10m</t>
  </si>
  <si>
    <t>Gears using hooks</t>
  </si>
  <si>
    <t>Low activity vessels over 10m</t>
  </si>
  <si>
    <t>&lt; £10,000</t>
  </si>
  <si>
    <t>Low activity vessels under 10m</t>
  </si>
  <si>
    <t>&lt; 10m</t>
  </si>
  <si>
    <t>Miscellaneous vessels over 10m</t>
  </si>
  <si>
    <t>NS</t>
  </si>
  <si>
    <t>Beam Trawl</t>
  </si>
  <si>
    <t>&gt;= 300 kW</t>
  </si>
  <si>
    <t>&lt; 300 kW</t>
  </si>
  <si>
    <t>North Sea nephrops trawl over 300kW</t>
  </si>
  <si>
    <t>North Sea nephrops trawl under 300kW</t>
  </si>
  <si>
    <t>North Sea and West of Scotland demersal trawl over 24m</t>
  </si>
  <si>
    <t>NS, WoS</t>
  </si>
  <si>
    <t>&gt;= 24m</t>
  </si>
  <si>
    <t>North Sea and West of Scotland demersal pair trawls and seines</t>
  </si>
  <si>
    <t>Paired Trawl</t>
  </si>
  <si>
    <t>North Sea and West of Scotland demersal seiners</t>
  </si>
  <si>
    <t>Scottish Seiner</t>
  </si>
  <si>
    <t>North Sea and West of Scotland demersal trawl under 24m, over 300kW</t>
  </si>
  <si>
    <t>North Sea and West of Scotland demersal trawl under 24m, under 300kW</t>
  </si>
  <si>
    <t>UK pelagic trawl over 40m</t>
  </si>
  <si>
    <t>Pelagic: Trawl, Seiner / Purse Seiner</t>
  </si>
  <si>
    <t>Mackerel</t>
  </si>
  <si>
    <t>&gt;= 40m</t>
  </si>
  <si>
    <t>UK pots and traps 10m-12m</t>
  </si>
  <si>
    <t>Pots and Traps</t>
  </si>
  <si>
    <t>&gt;= 10m &amp; &lt;12m</t>
  </si>
  <si>
    <t>UK Pots and traps over 12m</t>
  </si>
  <si>
    <t>&gt;= 12m</t>
  </si>
  <si>
    <t xml:space="preserve">South West beam trawl under 250kW </t>
  </si>
  <si>
    <t>&lt; 250 kW</t>
  </si>
  <si>
    <t>South West beam trawl over 250kW</t>
  </si>
  <si>
    <t>UK demersal trawls and seines under 10m</t>
  </si>
  <si>
    <t>UK drift and fixed nets under 10m</t>
  </si>
  <si>
    <t>UK pots and traps under 10m</t>
  </si>
  <si>
    <t>UK hooks under 10m</t>
  </si>
  <si>
    <t>West of Scotland nephrops trawl over 250kW</t>
  </si>
  <si>
    <t>WoS</t>
  </si>
  <si>
    <t>West of Scotland nephrops trawl under 250kW</t>
  </si>
  <si>
    <t>Dredges</t>
  </si>
  <si>
    <t>Scallops, queen scallops, cockles</t>
  </si>
  <si>
    <t>&gt;= 15m</t>
  </si>
  <si>
    <t>&lt;= 15m</t>
  </si>
  <si>
    <t>Summary Table</t>
  </si>
  <si>
    <t>2019 data only</t>
  </si>
  <si>
    <t>Fleet segment</t>
  </si>
  <si>
    <t>Main stock by value</t>
  </si>
  <si>
    <t>No. Vessels</t>
  </si>
  <si>
    <t>Average days at sea per vessel</t>
  </si>
  <si>
    <t>Total landings (tonnes)</t>
  </si>
  <si>
    <t>Landing per kW day at sea (kg)</t>
  </si>
  <si>
    <t>Income per kW day at sea (£)</t>
  </si>
  <si>
    <t>Total cost per kW day at sea (£)</t>
  </si>
  <si>
    <t>Operating profit per kW day at sea (£)</t>
  </si>
  <si>
    <t>Landing per kW day at sea
2010-2019
(% change)</t>
  </si>
  <si>
    <t>Haddock</t>
  </si>
  <si>
    <t>ô</t>
  </si>
  <si>
    <t>ö</t>
  </si>
  <si>
    <t>Nephrops</t>
  </si>
  <si>
    <t>Anglerfish</t>
  </si>
  <si>
    <t>Cuttlefish</t>
  </si>
  <si>
    <t>ø</t>
  </si>
  <si>
    <t xml:space="preserve"> </t>
  </si>
  <si>
    <t>Hake</t>
  </si>
  <si>
    <t>Brown Shrimps</t>
  </si>
  <si>
    <t>Lobsters</t>
  </si>
  <si>
    <t>Plaice</t>
  </si>
  <si>
    <t>Squid</t>
  </si>
  <si>
    <t>Brown Crab</t>
  </si>
  <si>
    <t>Sole</t>
  </si>
  <si>
    <t>Scallops</t>
  </si>
  <si>
    <t>Razor Clam</t>
  </si>
  <si>
    <t>2020 data only</t>
  </si>
  <si>
    <t>Landing per kW day at sea
2011-2020
(% change)</t>
  </si>
  <si>
    <t>ð</t>
  </si>
  <si>
    <t>Version: November 2021</t>
  </si>
  <si>
    <t>Adjusted values (£)</t>
  </si>
  <si>
    <t>Back to home page</t>
  </si>
  <si>
    <t>Variable</t>
  </si>
  <si>
    <t>Trend
2010-2020</t>
  </si>
  <si>
    <t>Segment totals</t>
  </si>
  <si>
    <t>Active vessels (#)</t>
  </si>
  <si>
    <t>Power (kW)</t>
  </si>
  <si>
    <t>Registered Tonnage (GT)</t>
  </si>
  <si>
    <t>VCU (unit)</t>
  </si>
  <si>
    <t>Landings (tonnes)</t>
  </si>
  <si>
    <t>Fishing Income (£ million)</t>
  </si>
  <si>
    <t>Days at Sea (days)</t>
  </si>
  <si>
    <t>FTEs (#)</t>
  </si>
  <si>
    <t>Vessel characteristics
(Average per vessel)</t>
  </si>
  <si>
    <t>Length (m)</t>
  </si>
  <si>
    <t>Fishing Income (£'000)</t>
  </si>
  <si>
    <t>Vessel Age (year)</t>
  </si>
  <si>
    <t>Landings per day at sea (tonnes)</t>
  </si>
  <si>
    <t>Average price per tonne landed (£)</t>
  </si>
  <si>
    <t>Performance indicators</t>
  </si>
  <si>
    <t>Landings per kW day at sea (kg)</t>
  </si>
  <si>
    <t>Fishing income per kW day at sea (£)</t>
  </si>
  <si>
    <t>Fishing income per FTE (£'000)</t>
  </si>
  <si>
    <t>Operating profit per FTE (£'000)</t>
  </si>
  <si>
    <t>Income, costs and profit
(Average per vessel)</t>
  </si>
  <si>
    <t>Non Fishing Income (£'000)</t>
  </si>
  <si>
    <t>Total Income (£'000)</t>
  </si>
  <si>
    <t>Fuel (£'000)</t>
  </si>
  <si>
    <t>Crew share (£'000)</t>
  </si>
  <si>
    <t>Other Fishing Costs (£'000)</t>
  </si>
  <si>
    <t>Total Fishing Costs (£'000)</t>
  </si>
  <si>
    <t>Total Vessel Costs (£'000)</t>
  </si>
  <si>
    <t>Total Costs (£'000)</t>
  </si>
  <si>
    <t>Gross Value Added (£'000)</t>
  </si>
  <si>
    <t>Operating Profit (£'000)</t>
  </si>
  <si>
    <t>Depreciation (£'000)</t>
  </si>
  <si>
    <t>Interest (£'000)</t>
  </si>
  <si>
    <t>Other Finance Costs (£'000)</t>
  </si>
  <si>
    <t>Net Profit (£'000)</t>
  </si>
  <si>
    <t>Notes:</t>
  </si>
  <si>
    <t xml:space="preserve">Sample rate for vessel characteristics and fishing income is 100%, taken from official data. Sample rates for non-fishing income and costs vary due to availability of financial accounts. See sample rate tab for details. </t>
  </si>
  <si>
    <t>Performance indicators 2010-2019</t>
  </si>
  <si>
    <t>Indicator</t>
  </si>
  <si>
    <t>Landings</t>
  </si>
  <si>
    <t>Income</t>
  </si>
  <si>
    <t>Costs</t>
  </si>
  <si>
    <t>Profit</t>
  </si>
  <si>
    <t>(per kilowatt day at sea)</t>
  </si>
  <si>
    <t>Trend</t>
  </si>
  <si>
    <t>Graphical Interpretation</t>
  </si>
  <si>
    <t>Haddock - 52.4%</t>
  </si>
  <si>
    <t>Haddock - 40.0%</t>
  </si>
  <si>
    <t>Top 5 landed species by value 2011-2020</t>
  </si>
  <si>
    <t>Nephrops - 9.9%</t>
  </si>
  <si>
    <t>Nephrops - 17.7%</t>
  </si>
  <si>
    <t>Cod - 7.6%</t>
  </si>
  <si>
    <t>Cod - 11.8%</t>
  </si>
  <si>
    <t>Brown Crab - 6.6%</t>
  </si>
  <si>
    <t>Scallops - 7.6%</t>
  </si>
  <si>
    <t>Hake - 5.8%</t>
  </si>
  <si>
    <t>Hake - 7.0%</t>
  </si>
  <si>
    <t>Others - 17.7%</t>
  </si>
  <si>
    <t>Others - 15.8%</t>
  </si>
  <si>
    <t>Cod</t>
  </si>
  <si>
    <t>Pollack</t>
  </si>
  <si>
    <t>Queen Scallops</t>
  </si>
  <si>
    <t>Thornback Ray</t>
  </si>
  <si>
    <t>Others</t>
  </si>
  <si>
    <t>adjusted to 2019 prices</t>
  </si>
  <si>
    <t>nominal values</t>
  </si>
  <si>
    <t>Nominal values (£)</t>
  </si>
  <si>
    <t>Most
profitable
quartile</t>
  </si>
  <si>
    <t>Middle
two quartiles</t>
  </si>
  <si>
    <t>Least
profitable
quartile</t>
  </si>
  <si>
    <t>Segment
average</t>
  </si>
  <si>
    <t>&lt;5</t>
  </si>
  <si>
    <t>Fuel efficiency</t>
  </si>
  <si>
    <t>Annual cost of fuel (£'000)</t>
  </si>
  <si>
    <t>Annual fuel use (litre)</t>
  </si>
  <si>
    <t>Fuel use per day (litre)</t>
  </si>
  <si>
    <t>Cost of fuel per day (£)</t>
  </si>
  <si>
    <t>Cost of fuel per tonne landed (£)</t>
  </si>
  <si>
    <t>Total income</t>
  </si>
  <si>
    <t>Earnings &amp; Costs</t>
  </si>
  <si>
    <t>Total income (£'000)</t>
  </si>
  <si>
    <t>Operating costs</t>
  </si>
  <si>
    <t>Operating costs (£'000)</t>
  </si>
  <si>
    <t>Operating profit</t>
  </si>
  <si>
    <t>Operating profit (£'000)</t>
  </si>
  <si>
    <t>Value in £'000</t>
  </si>
  <si>
    <t>Total income, operating costs and operating profit  in 2019</t>
  </si>
  <si>
    <t>Quartiles are based on operating profit margin.</t>
  </si>
  <si>
    <t>Middle 
two quartiles</t>
  </si>
  <si>
    <t>color</t>
  </si>
  <si>
    <t>Top 5 landed species by volume in 2019</t>
  </si>
  <si>
    <t>Top 5 landed species by value in 2019</t>
  </si>
  <si>
    <t>Les. Spot. Dog</t>
  </si>
  <si>
    <t>Nephrops - 84.1%</t>
  </si>
  <si>
    <t>Nephrops - 91.7%</t>
  </si>
  <si>
    <t>Les. Spot. Dog - 6.0%</t>
  </si>
  <si>
    <t>Anglerfish - 2.1%</t>
  </si>
  <si>
    <t>Haddock - 3.4%</t>
  </si>
  <si>
    <t>Haddock - 1.9%</t>
  </si>
  <si>
    <t>Cuttlefish - 0.8%</t>
  </si>
  <si>
    <t>Cod - 0.7%</t>
  </si>
  <si>
    <t>Others - 3.6%</t>
  </si>
  <si>
    <t>Others - 2.8%</t>
  </si>
  <si>
    <t>Brill</t>
  </si>
  <si>
    <t>Turbot</t>
  </si>
  <si>
    <t>Nephrops - 79.3%</t>
  </si>
  <si>
    <t>Nephrops - 85.0%</t>
  </si>
  <si>
    <t>Scallops - 7.7%</t>
  </si>
  <si>
    <t>Les. Spot. Dog - 3.4%</t>
  </si>
  <si>
    <t>Anglerfish - 1.4%</t>
  </si>
  <si>
    <t>Haddock - 2.2%</t>
  </si>
  <si>
    <t>Haddock - 1.1%</t>
  </si>
  <si>
    <t>Brill - 0.6%</t>
  </si>
  <si>
    <t>Others - 6.0%</t>
  </si>
  <si>
    <t>Others - 4.2%</t>
  </si>
  <si>
    <t>Mussels</t>
  </si>
  <si>
    <t>Anglerfish - 37.7%</t>
  </si>
  <si>
    <t>Anglerfish - 48.0%</t>
  </si>
  <si>
    <t>Megrim - 25.6%</t>
  </si>
  <si>
    <t>Megrim - 24.1%</t>
  </si>
  <si>
    <t>Hake - 5.9%</t>
  </si>
  <si>
    <t>Nephrops - 6.9%</t>
  </si>
  <si>
    <t>Witch - 4.8%</t>
  </si>
  <si>
    <t>Hake - 4.0%</t>
  </si>
  <si>
    <t>Nephrops - 3.3%</t>
  </si>
  <si>
    <t>Witch - 2.9%</t>
  </si>
  <si>
    <t>Others - 22.7%</t>
  </si>
  <si>
    <t>Others - 14.1%</t>
  </si>
  <si>
    <t>Megrim</t>
  </si>
  <si>
    <t>Witch</t>
  </si>
  <si>
    <t>European Flying Squid</t>
  </si>
  <si>
    <t>John Dory</t>
  </si>
  <si>
    <t>Sprats - 15.6%</t>
  </si>
  <si>
    <t>Cuttlefish - 16.7%</t>
  </si>
  <si>
    <t>Cuttlefish - 12.8%</t>
  </si>
  <si>
    <t>Lemon Sole - 14.2%</t>
  </si>
  <si>
    <t>Les. Spot. Dog - 8.0%</t>
  </si>
  <si>
    <t>Anglerfish - 9.0%</t>
  </si>
  <si>
    <t>Anglerfish - 6.1%</t>
  </si>
  <si>
    <t>Squid - 6.6%</t>
  </si>
  <si>
    <t>Lemon Sole - 6.1%</t>
  </si>
  <si>
    <t>Sole - 6.2%</t>
  </si>
  <si>
    <t>Others - 51.4%</t>
  </si>
  <si>
    <t>Others - 47.3%</t>
  </si>
  <si>
    <t>Lemon Sole</t>
  </si>
  <si>
    <t>Blonde Ray</t>
  </si>
  <si>
    <t>Sprats</t>
  </si>
  <si>
    <t>Whiting</t>
  </si>
  <si>
    <t>Anglerfish - 42.2%</t>
  </si>
  <si>
    <t>Anglerfish - 50.2%</t>
  </si>
  <si>
    <t>Hake - 26.9%</t>
  </si>
  <si>
    <t>Hake - 33.6%</t>
  </si>
  <si>
    <t>Pilchards - 16.7%</t>
  </si>
  <si>
    <t>Turbot - 3.9%</t>
  </si>
  <si>
    <t>Pollack - 5.0%</t>
  </si>
  <si>
    <t>Pollack - 3.1%</t>
  </si>
  <si>
    <t>Haddock - 1.2%</t>
  </si>
  <si>
    <t>Pilchards - 2.2%</t>
  </si>
  <si>
    <t>Others - 8.1%</t>
  </si>
  <si>
    <t>Others - 7.0%</t>
  </si>
  <si>
    <t>Pilchards</t>
  </si>
  <si>
    <t>Ling</t>
  </si>
  <si>
    <t>Crawfish</t>
  </si>
  <si>
    <t>Saithe</t>
  </si>
  <si>
    <t>Sandy Ray</t>
  </si>
  <si>
    <t xml:space="preserve"> - </t>
  </si>
  <si>
    <t>Others - 100.0%</t>
  </si>
  <si>
    <t>Hake - 58.3%</t>
  </si>
  <si>
    <t>Hake - 55.1%</t>
  </si>
  <si>
    <t>Ling - 29.3%</t>
  </si>
  <si>
    <t>Razor Clam - 19.7%</t>
  </si>
  <si>
    <t>Razor Clam - 6.3%</t>
  </si>
  <si>
    <t>Ling - 18.0%</t>
  </si>
  <si>
    <t>Scallops - 3.1%</t>
  </si>
  <si>
    <t>Scallops - 4.7%</t>
  </si>
  <si>
    <t>Blue Mouth Redfish - 0.8%</t>
  </si>
  <si>
    <t>Pollack - 0.6%</t>
  </si>
  <si>
    <t>Others - 2.2%</t>
  </si>
  <si>
    <t>Others - 1.9%</t>
  </si>
  <si>
    <t>Bass</t>
  </si>
  <si>
    <t>Blue Mouth Redfish</t>
  </si>
  <si>
    <t>Albacore</t>
  </si>
  <si>
    <t>Greater Forked Beard</t>
  </si>
  <si>
    <t>Herring</t>
  </si>
  <si>
    <t>Brown Shrimps - 44.6%</t>
  </si>
  <si>
    <t>Brown Shrimps - 29.1%</t>
  </si>
  <si>
    <t>Whelks - 11.1%</t>
  </si>
  <si>
    <t>Nephrops - 14.0%</t>
  </si>
  <si>
    <t>Lobsters - 13.8%</t>
  </si>
  <si>
    <t>Scallops - 9.1%</t>
  </si>
  <si>
    <t>Brown Crab - 9.5%</t>
  </si>
  <si>
    <t>Brown Crab - 8.1%</t>
  </si>
  <si>
    <t>Scallops - 9.0%</t>
  </si>
  <si>
    <t>Others - 17.2%</t>
  </si>
  <si>
    <t>Others - 24.5%</t>
  </si>
  <si>
    <t>Cockles</t>
  </si>
  <si>
    <t>Whelks</t>
  </si>
  <si>
    <t>Velvet Crab</t>
  </si>
  <si>
    <t>Mackerel - 26.0%</t>
  </si>
  <si>
    <t>Lobsters - 32.8%</t>
  </si>
  <si>
    <t>Brown Crab - 9.4%</t>
  </si>
  <si>
    <t>Bass - 13.0%</t>
  </si>
  <si>
    <t>Lobsters - 7.8%</t>
  </si>
  <si>
    <t>Mackerel - 11.9%</t>
  </si>
  <si>
    <t>Velvet Crab - 7.4%</t>
  </si>
  <si>
    <t>Brown Crab - 6.7%</t>
  </si>
  <si>
    <t>Thornback Ray - 5.6%</t>
  </si>
  <si>
    <t>Velvet Crab - 6.1%</t>
  </si>
  <si>
    <t>Others - 43.7%</t>
  </si>
  <si>
    <t>Others - 29.5%</t>
  </si>
  <si>
    <t>Plaice - 77.3%</t>
  </si>
  <si>
    <t>Plaice - 61.4%</t>
  </si>
  <si>
    <t>Sole - 4.8%</t>
  </si>
  <si>
    <t>Sole - 18.7%</t>
  </si>
  <si>
    <t>Turbot - 4.1%</t>
  </si>
  <si>
    <t>Turbot - 10.8%</t>
  </si>
  <si>
    <t>Dabs - 3.7%</t>
  </si>
  <si>
    <t>Brill - 2.4%</t>
  </si>
  <si>
    <t>Lemon Sole - 2.0%</t>
  </si>
  <si>
    <t>Lemon Sole - 1.9%</t>
  </si>
  <si>
    <t>Others - 4.8%</t>
  </si>
  <si>
    <t>Dabs</t>
  </si>
  <si>
    <t>Brown Shrimps - 79.4%</t>
  </si>
  <si>
    <t>Brown Shrimps - 82.3%</t>
  </si>
  <si>
    <t>Whelks - 17.3%</t>
  </si>
  <si>
    <t>Whelks - 12.2%</t>
  </si>
  <si>
    <t>Brown Crab - 2.9%</t>
  </si>
  <si>
    <t>Brown Crab - 3.5%</t>
  </si>
  <si>
    <t>Lobsters - 0.3%</t>
  </si>
  <si>
    <t>Lobsters - 1.8%</t>
  </si>
  <si>
    <t>Sole - 0.0%</t>
  </si>
  <si>
    <t>Sole - 0.2%</t>
  </si>
  <si>
    <t>Others - 0.0%</t>
  </si>
  <si>
    <t>Pink Shrimps</t>
  </si>
  <si>
    <t>Green Crab</t>
  </si>
  <si>
    <t>Nephrops - 56.9%</t>
  </si>
  <si>
    <t>Nephrops - 69.9%</t>
  </si>
  <si>
    <t>Haddock - 10.6%</t>
  </si>
  <si>
    <t>Anglerfish - 9.7%</t>
  </si>
  <si>
    <t>Whiting - 7.9%</t>
  </si>
  <si>
    <t>Haddock - 4.4%</t>
  </si>
  <si>
    <t>Anglerfish - 7.5%</t>
  </si>
  <si>
    <t>Cod - 3.5%</t>
  </si>
  <si>
    <t>Cod - 3.6%</t>
  </si>
  <si>
    <t>Whiting - 3.3%</t>
  </si>
  <si>
    <t>Others - 13.5%</t>
  </si>
  <si>
    <t>Others - 9.1%</t>
  </si>
  <si>
    <t>Nephrops - 70.5%</t>
  </si>
  <si>
    <t>Nephrops - 87.2%</t>
  </si>
  <si>
    <t>Sprats - 14.4%</t>
  </si>
  <si>
    <t>Squid - 1.9%</t>
  </si>
  <si>
    <t>Haddock - 3.9%</t>
  </si>
  <si>
    <t>Anglerfish - 1.7%</t>
  </si>
  <si>
    <t>Whiting - 3.6%</t>
  </si>
  <si>
    <t>Haddock - 1.6%</t>
  </si>
  <si>
    <t>Squid - 1.5%</t>
  </si>
  <si>
    <t>Sprats - 1.6%</t>
  </si>
  <si>
    <t>Others - 5.9%</t>
  </si>
  <si>
    <t>Halibut</t>
  </si>
  <si>
    <t>Haddock - 28.9%</t>
  </si>
  <si>
    <t>Haddock - 23.6%</t>
  </si>
  <si>
    <t>Saithe - 16.2%</t>
  </si>
  <si>
    <t>Cod - 20.7%</t>
  </si>
  <si>
    <t>Cod - 14.3%</t>
  </si>
  <si>
    <t>Anglerfish - 14.5%</t>
  </si>
  <si>
    <t>Anglerfish - 8.5%</t>
  </si>
  <si>
    <t>Saithe - 7.9%</t>
  </si>
  <si>
    <t>Whiting - 5.7%</t>
  </si>
  <si>
    <t>Squid - 5.2%</t>
  </si>
  <si>
    <t>Others - 26.5%</t>
  </si>
  <si>
    <t>Others - 28.2%</t>
  </si>
  <si>
    <t>Haddock - 33.1%</t>
  </si>
  <si>
    <t>Haddock - 28.1%</t>
  </si>
  <si>
    <t>Saithe - 18.3%</t>
  </si>
  <si>
    <t>Cod - 25.1%</t>
  </si>
  <si>
    <t>Cod - 16.3%</t>
  </si>
  <si>
    <t>Hake - 14.0%</t>
  </si>
  <si>
    <t>Whiting - 14.5%</t>
  </si>
  <si>
    <t>Whiting - 11.0%</t>
  </si>
  <si>
    <t>Hake - 10.4%</t>
  </si>
  <si>
    <t>Saithe - 10.8%</t>
  </si>
  <si>
    <t>Others - 7.4%</t>
  </si>
  <si>
    <t>Others - 11.0%</t>
  </si>
  <si>
    <t>Haddock - 33.0%</t>
  </si>
  <si>
    <t>Haddock - 24.5%</t>
  </si>
  <si>
    <t>Whiting - 19.6%</t>
  </si>
  <si>
    <t>Cod - 23.1%</t>
  </si>
  <si>
    <t>Cod - 15.4%</t>
  </si>
  <si>
    <t>Whiting - 14.9%</t>
  </si>
  <si>
    <t>Hake - 7.2%</t>
  </si>
  <si>
    <t>Hake - 9.8%</t>
  </si>
  <si>
    <t>Saithe - 5.4%</t>
  </si>
  <si>
    <t>Plaice - 4.7%</t>
  </si>
  <si>
    <t>Others - 19.4%</t>
  </si>
  <si>
    <t>Others - 23.0%</t>
  </si>
  <si>
    <t>Cod - 19.0%</t>
  </si>
  <si>
    <t>Anglerfish - 25.4%</t>
  </si>
  <si>
    <t>Anglerfish - 18.5%</t>
  </si>
  <si>
    <t>Cod - 21.8%</t>
  </si>
  <si>
    <t>Haddock - 14.1%</t>
  </si>
  <si>
    <t>Haddock - 9.2%</t>
  </si>
  <si>
    <t>Megrim - 8.9%</t>
  </si>
  <si>
    <t>Whiting - 7.7%</t>
  </si>
  <si>
    <t>Nephrops - 8.1%</t>
  </si>
  <si>
    <t>Others - 32.9%</t>
  </si>
  <si>
    <t>Squid - 15.0%</t>
  </si>
  <si>
    <t>Squid - 24.9%</t>
  </si>
  <si>
    <t>Cod - 14.5%</t>
  </si>
  <si>
    <t>Cod - 14.2%</t>
  </si>
  <si>
    <t>Haddock - 13.5%</t>
  </si>
  <si>
    <t>Nephrops - 13.9%</t>
  </si>
  <si>
    <t>Nephrops - 11.8%</t>
  </si>
  <si>
    <t>Anglerfish - 11.7%</t>
  </si>
  <si>
    <t>Anglerfish - 10.6%</t>
  </si>
  <si>
    <t>Squid - 10.8%</t>
  </si>
  <si>
    <t>Others - 34.6%</t>
  </si>
  <si>
    <t>Brown Crab - 48.4%</t>
  </si>
  <si>
    <t>Brown Crab - 35.7%</t>
  </si>
  <si>
    <t>Whelks - 31.4%</t>
  </si>
  <si>
    <t>Lobsters - 27.5%</t>
  </si>
  <si>
    <t>Lobsters - 6.3%</t>
  </si>
  <si>
    <t>Nephrops - 17.5%</t>
  </si>
  <si>
    <t>Nephrops - 4.8%</t>
  </si>
  <si>
    <t>Whelks - 12.9%</t>
  </si>
  <si>
    <t>Pilchards - 3.0%</t>
  </si>
  <si>
    <t>Velvet Crab - 2.1%</t>
  </si>
  <si>
    <t>Others - 6.1%</t>
  </si>
  <si>
    <t>Others - 4.4%</t>
  </si>
  <si>
    <t>Brown Crab - 67.1%</t>
  </si>
  <si>
    <t>Brown Crab - 70.2%</t>
  </si>
  <si>
    <t>Whelks - 30.3%</t>
  </si>
  <si>
    <t>Whelks - 17.0%</t>
  </si>
  <si>
    <t>Lobsters - 1.7%</t>
  </si>
  <si>
    <t>Lobsters - 11.3%</t>
  </si>
  <si>
    <t>Nephrops - 0.3%</t>
  </si>
  <si>
    <t>Nephrops - 1.0%</t>
  </si>
  <si>
    <t>Scallops - 0.2%</t>
  </si>
  <si>
    <t>Others - 0.3%</t>
  </si>
  <si>
    <t>Others - 0.2%</t>
  </si>
  <si>
    <t>Spider Crabs</t>
  </si>
  <si>
    <t>Wrasses</t>
  </si>
  <si>
    <t>Cuttlefish - 29.0%</t>
  </si>
  <si>
    <t>Sole - 27.9%</t>
  </si>
  <si>
    <t>Anglerfish - 15.6%</t>
  </si>
  <si>
    <t>Cuttlefish - 22.0%</t>
  </si>
  <si>
    <t>Plaice - 7.9%</t>
  </si>
  <si>
    <t>Anglerfish - 13.7%</t>
  </si>
  <si>
    <t>Sole - 7.2%</t>
  </si>
  <si>
    <t>Turbot - 6.1%</t>
  </si>
  <si>
    <t>Scallops - 6.8%</t>
  </si>
  <si>
    <t>Plaice - 5.6%</t>
  </si>
  <si>
    <t>Others - 33.5%</t>
  </si>
  <si>
    <t>Others - 24.6%</t>
  </si>
  <si>
    <t>Gurnard</t>
  </si>
  <si>
    <t>Cuttlefish - 24.9%</t>
  </si>
  <si>
    <t>Sole - 34.3%</t>
  </si>
  <si>
    <t>Plaice - 12.0%</t>
  </si>
  <si>
    <t>Cuttlefish - 19.4%</t>
  </si>
  <si>
    <t>Anglerfish - 11.1%</t>
  </si>
  <si>
    <t>Sole - 9.4%</t>
  </si>
  <si>
    <t>Plaice - 8.2%</t>
  </si>
  <si>
    <t>Scallops - 6.1%</t>
  </si>
  <si>
    <t>Turbot - 5.0%</t>
  </si>
  <si>
    <t>Others - 36.6%</t>
  </si>
  <si>
    <t>Others - 23.3%</t>
  </si>
  <si>
    <t>Scallops - 81.7%</t>
  </si>
  <si>
    <t>Scallops - 89.2%</t>
  </si>
  <si>
    <t>Queen Scallops - 16.8%</t>
  </si>
  <si>
    <t>Queen Scallops - 8.4%</t>
  </si>
  <si>
    <t>Nephrops - 0.4%</t>
  </si>
  <si>
    <t>Nephrops - 0.5%</t>
  </si>
  <si>
    <t>Anglerfish - 0.4%</t>
  </si>
  <si>
    <t>Turbot - 0.5%</t>
  </si>
  <si>
    <t>Turbot - 0.1%</t>
  </si>
  <si>
    <t>Anglerfish - 0.5%</t>
  </si>
  <si>
    <t>Others - 0.6%</t>
  </si>
  <si>
    <t>Others - 0.9%</t>
  </si>
  <si>
    <t>Cockles - 50.7%</t>
  </si>
  <si>
    <t>Scallops - 51.5%</t>
  </si>
  <si>
    <t>Scallops - 40.8%</t>
  </si>
  <si>
    <t>Cockles - 31.7%</t>
  </si>
  <si>
    <t>Queen Scallops - 2.3%</t>
  </si>
  <si>
    <t>Mussels - 2.4%</t>
  </si>
  <si>
    <t>Manilla Clam - 0.9%</t>
  </si>
  <si>
    <t>Sole - 2.3%</t>
  </si>
  <si>
    <t>Cuttlefish - 0.9%</t>
  </si>
  <si>
    <t>Manilla Clam - 2.1%</t>
  </si>
  <si>
    <t>Others - 4.5%</t>
  </si>
  <si>
    <t>Others - 10.0%</t>
  </si>
  <si>
    <t>Manilla Clam</t>
  </si>
  <si>
    <t>Mixed Clams</t>
  </si>
  <si>
    <t>Nephrops - 39.1%</t>
  </si>
  <si>
    <t>Nephrops - 47.7%</t>
  </si>
  <si>
    <t>Plaice - 7.1%</t>
  </si>
  <si>
    <t>Sole - 10.1%</t>
  </si>
  <si>
    <t>Squid - 6.8%</t>
  </si>
  <si>
    <t>Squid - 7.3%</t>
  </si>
  <si>
    <t>Les. Spot. Dog - 6.1%</t>
  </si>
  <si>
    <t>Cuttlefish - 5.2%</t>
  </si>
  <si>
    <t>Cuttlefish - 5.3%</t>
  </si>
  <si>
    <t>Others - 35.6%</t>
  </si>
  <si>
    <t>Others - 25.0%</t>
  </si>
  <si>
    <t>Whelks - 19.0%</t>
  </si>
  <si>
    <t>Sole - 26.3%</t>
  </si>
  <si>
    <t>Pollack - 9.4%</t>
  </si>
  <si>
    <t>Bass - 11.2%</t>
  </si>
  <si>
    <t>Pilchards - 8.6%</t>
  </si>
  <si>
    <t>Pollack - 9.0%</t>
  </si>
  <si>
    <t>Plaice - 7.6%</t>
  </si>
  <si>
    <t>Whelks - 8.4%</t>
  </si>
  <si>
    <t>Thornback Ray - 7.0%</t>
  </si>
  <si>
    <t>Turbot - 5.6%</t>
  </si>
  <si>
    <t>Others - 48.5%</t>
  </si>
  <si>
    <t>Others - 39.5%</t>
  </si>
  <si>
    <t>Smoothhound</t>
  </si>
  <si>
    <t>Brown Crab - 37.9%</t>
  </si>
  <si>
    <t>Lobsters - 33.1%</t>
  </si>
  <si>
    <t>Whelks - 35.0%</t>
  </si>
  <si>
    <t>Brown Crab - 25.1%</t>
  </si>
  <si>
    <t>Lobsters - 8.3%</t>
  </si>
  <si>
    <t>Whelks - 13.5%</t>
  </si>
  <si>
    <t>Velvet Crab - 6.2%</t>
  </si>
  <si>
    <t>Nephrops - 11.9%</t>
  </si>
  <si>
    <t>Nephrops - 3.9%</t>
  </si>
  <si>
    <t>Velvet Crab - 4.9%</t>
  </si>
  <si>
    <t>Others - 8.7%</t>
  </si>
  <si>
    <t>Others - 11.5%</t>
  </si>
  <si>
    <t>Mackerel - 39.6%</t>
  </si>
  <si>
    <t>Razor Clam - 35.7%</t>
  </si>
  <si>
    <t>Scallops - 18.7%</t>
  </si>
  <si>
    <t>Bass - 21.1%</t>
  </si>
  <si>
    <t>Razor Clam - 17.3%</t>
  </si>
  <si>
    <t>Scallops - 16.2%</t>
  </si>
  <si>
    <t>Bass - 7.7%</t>
  </si>
  <si>
    <t>Mackerel - 13.6%</t>
  </si>
  <si>
    <t>Cod - 5.0%</t>
  </si>
  <si>
    <t>Pollack - 4.1%</t>
  </si>
  <si>
    <t>Others - 11.7%</t>
  </si>
  <si>
    <t>Others - 9.2%</t>
  </si>
  <si>
    <t>Nephrops - 66.1%</t>
  </si>
  <si>
    <t>Nephrops - 78.8%</t>
  </si>
  <si>
    <t>Sprats - 15.5%</t>
  </si>
  <si>
    <t>Squid - 8.5%</t>
  </si>
  <si>
    <t>Squid - 4.5%</t>
  </si>
  <si>
    <t>Anglerfish - 4.4%</t>
  </si>
  <si>
    <t>Anglerfish - 3.7%</t>
  </si>
  <si>
    <t>Sprats - 1.5%</t>
  </si>
  <si>
    <t>Cod - 1.2%</t>
  </si>
  <si>
    <t>Others - 8.5%</t>
  </si>
  <si>
    <t>Others - 5.7%</t>
  </si>
  <si>
    <t>Nephrops - 93.9%</t>
  </si>
  <si>
    <t>Nephrops - 95.7%</t>
  </si>
  <si>
    <t>Scallops - 1.4%</t>
  </si>
  <si>
    <t>Scallops - 1.3%</t>
  </si>
  <si>
    <t>Whiting - 1.2%</t>
  </si>
  <si>
    <t>Squid - 1.2%</t>
  </si>
  <si>
    <t>Squid - 1.1%</t>
  </si>
  <si>
    <t>Whiting - 0.5%</t>
  </si>
  <si>
    <t>Haddock - 0.7%</t>
  </si>
  <si>
    <t>Others - 1.8%</t>
  </si>
  <si>
    <t>Sample Rates</t>
  </si>
  <si>
    <t>Sample rate for vessel characteristics and fishing income is 100%, taken from official data.
Sample rates on this page are for non-fishing income and costs, taken from financial accounts.</t>
  </si>
  <si>
    <t>Segment</t>
  </si>
  <si>
    <t>2020*</t>
  </si>
  <si>
    <t>* 2020: projection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</si>
</sst>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34">
    <font>
      <sz val="11"/>
      <color theme="1"/>
      <name val="Arial"/>
      <family val="2"/>
    </font>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Arial"/>
      <family val="2"/>
    </font>
    <font>
      <b/>
      <u/>
      <sz val="14"/>
      <color theme="1"/>
      <name val="Arial"/>
      <family val="2"/>
    </font>
    <font>
      <sz val="10"/>
      <color theme="1"/>
      <name val="Arial"/>
      <family val="2"/>
    </font>
    <font>
      <sz val="10"/>
      <color theme="1"/>
      <name val="Calibri"/>
      <family val="2"/>
      <scheme val="minor"/>
    </font>
    <font>
      <b/>
      <sz val="10"/>
      <color theme="1"/>
      <name val="Calibri"/>
      <family val="2"/>
      <scheme val="minor"/>
    </font>
    <font>
      <b/>
      <sz val="14"/>
      <color theme="1"/>
      <name val="Calibri"/>
      <family val="2"/>
      <scheme val="minor"/>
    </font>
    <font>
      <sz val="12"/>
      <color theme="1"/>
      <name val="Wingdings"/>
      <charset val="2"/>
    </font>
    <font>
      <u/>
      <sz val="11"/>
      <color theme="10"/>
      <name val="Arial"/>
      <family val="2"/>
    </font>
    <font>
      <u/>
      <sz val="10"/>
      <name val="Calibri"/>
      <family val="2"/>
    </font>
    <font>
      <u/>
      <sz val="10"/>
      <color indexed="8"/>
      <name val="Calibri"/>
      <family val="2"/>
    </font>
    <font>
      <sz val="10"/>
      <color theme="1"/>
      <name val="Calibri"/>
      <family val="2"/>
    </font>
    <font>
      <sz val="10"/>
      <name val="Calibri"/>
      <family val="2"/>
      <scheme val="minor"/>
    </font>
    <font>
      <sz val="9"/>
      <color theme="1"/>
      <name val="Calibri"/>
      <family val="2"/>
      <scheme val="minor"/>
    </font>
    <font>
      <b/>
      <sz val="9"/>
      <color theme="1"/>
      <name val="Calibri"/>
      <family val="2"/>
      <scheme val="minor"/>
    </font>
    <font>
      <b/>
      <sz val="10"/>
      <color theme="3"/>
      <name val="Calibri"/>
      <family val="2"/>
      <scheme val="minor"/>
    </font>
    <font>
      <b/>
      <u/>
      <sz val="12"/>
      <color theme="1"/>
      <name val="Calibri"/>
      <family val="2"/>
      <scheme val="minor"/>
    </font>
    <font>
      <b/>
      <sz val="11"/>
      <name val="Calibri"/>
      <family val="2"/>
      <scheme val="minor"/>
    </font>
    <font>
      <sz val="11"/>
      <name val="Calibri"/>
      <family val="2"/>
      <scheme val="minor"/>
    </font>
    <font>
      <b/>
      <u/>
      <sz val="12"/>
      <name val="Calibri"/>
      <family val="2"/>
      <scheme val="minor"/>
    </font>
    <font>
      <sz val="9"/>
      <name val="Calibri"/>
      <family val="2"/>
      <scheme val="minor"/>
    </font>
    <font>
      <sz val="8"/>
      <color theme="1"/>
      <name val="Calibri"/>
      <family val="2"/>
      <scheme val="minor"/>
    </font>
    <font>
      <u/>
      <sz val="11"/>
      <name val="Calibri"/>
      <family val="2"/>
    </font>
    <font>
      <i/>
      <sz val="10"/>
      <color theme="1"/>
      <name val="Calibri"/>
      <family val="2"/>
      <scheme val="minor"/>
    </font>
    <font>
      <sz val="10"/>
      <name val="Arial"/>
      <family val="2"/>
    </font>
    <font>
      <b/>
      <sz val="10"/>
      <name val="Calibri"/>
      <family val="2"/>
      <scheme val="minor"/>
    </font>
    <font>
      <b/>
      <u/>
      <sz val="11"/>
      <color theme="1"/>
      <name val="Calibri"/>
      <family val="2"/>
      <scheme val="minor"/>
    </font>
    <font>
      <u/>
      <sz val="11"/>
      <color theme="1"/>
      <name val="Calibri"/>
      <family val="2"/>
      <scheme val="minor"/>
    </font>
    <font>
      <sz val="11"/>
      <name val="Calibri"/>
      <family val="2"/>
    </font>
  </fonts>
  <fills count="11">
    <fill>
      <patternFill patternType="none"/>
    </fill>
    <fill>
      <patternFill patternType="gray125"/>
    </fill>
    <fill>
      <patternFill patternType="solid">
        <fgColor theme="0"/>
        <bgColor indexed="64"/>
      </patternFill>
    </fill>
    <fill>
      <patternFill patternType="solid">
        <fgColor rgb="FFF1A058"/>
        <bgColor indexed="64"/>
      </patternFill>
    </fill>
    <fill>
      <patternFill patternType="solid">
        <fgColor rgb="FF7599D0"/>
        <bgColor indexed="64"/>
      </patternFill>
    </fill>
    <fill>
      <patternFill patternType="solid">
        <fgColor rgb="FFD5DE71"/>
        <bgColor indexed="64"/>
      </patternFill>
    </fill>
    <fill>
      <patternFill patternType="solid">
        <fgColor rgb="FF7CB6C2"/>
        <bgColor indexed="64"/>
      </patternFill>
    </fill>
    <fill>
      <patternFill patternType="solid">
        <fgColor theme="7" tint="0.59999389629810485"/>
        <bgColor indexed="64"/>
      </patternFill>
    </fill>
    <fill>
      <patternFill patternType="solid">
        <fgColor rgb="FFF0886D"/>
        <bgColor indexed="64"/>
      </patternFill>
    </fill>
    <fill>
      <patternFill patternType="solid">
        <fgColor rgb="FFFFFFFF"/>
        <bgColor indexed="64"/>
      </patternFill>
    </fill>
    <fill>
      <patternFill patternType="solid">
        <fgColor rgb="FFFFC000"/>
        <bgColor indexed="64"/>
      </patternFill>
    </fill>
  </fills>
  <borders count="25">
    <border>
      <left/>
      <right/>
      <top/>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style="medium">
        <color auto="1"/>
      </top>
      <bottom style="medium">
        <color auto="1"/>
      </bottom>
      <diagonal/>
    </border>
    <border>
      <left/>
      <right/>
      <top style="medium">
        <color auto="1"/>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4">
    <xf numFmtId="0" fontId="0" fillId="0" borderId="0"/>
    <xf numFmtId="0" fontId="13" fillId="0" borderId="0" applyNumberFormat="0" applyFill="0" applyBorder="0" applyAlignment="0" applyProtection="0"/>
    <xf numFmtId="9" fontId="6" fillId="0" borderId="0" applyFont="0" applyFill="0" applyBorder="0" applyAlignment="0" applyProtection="0"/>
    <xf numFmtId="0" fontId="29" fillId="0" borderId="0"/>
  </cellStyleXfs>
  <cellXfs count="208">
    <xf numFmtId="0" fontId="0" fillId="0" borderId="0" xfId="0"/>
    <xf numFmtId="0" fontId="7" fillId="2" borderId="0" xfId="0" applyFont="1" applyFill="1"/>
    <xf numFmtId="0" fontId="8" fillId="2" borderId="0" xfId="0" applyFont="1" applyFill="1"/>
    <xf numFmtId="0" fontId="9" fillId="2" borderId="0" xfId="0" applyFont="1" applyFill="1"/>
    <xf numFmtId="0" fontId="10" fillId="2" borderId="0" xfId="0" applyFont="1" applyFill="1"/>
    <xf numFmtId="0" fontId="11" fillId="2" borderId="0" xfId="0" applyFont="1" applyFill="1" applyAlignment="1">
      <alignment horizontal="left" vertical="center"/>
    </xf>
    <xf numFmtId="0" fontId="10" fillId="2" borderId="0" xfId="0" applyFont="1" applyFill="1" applyAlignment="1">
      <alignment horizontal="center" vertical="center"/>
    </xf>
    <xf numFmtId="0" fontId="8" fillId="2" borderId="0" xfId="0" applyFont="1" applyFill="1" applyAlignment="1">
      <alignment horizontal="center"/>
    </xf>
    <xf numFmtId="0" fontId="10" fillId="2" borderId="0" xfId="0" applyFont="1" applyFill="1" applyAlignment="1">
      <alignment horizontal="left" vertical="top"/>
    </xf>
    <xf numFmtId="0" fontId="9" fillId="2" borderId="0" xfId="0" applyFont="1" applyFill="1" applyAlignment="1">
      <alignment horizontal="center" vertical="center" wrapText="1"/>
    </xf>
    <xf numFmtId="0" fontId="9" fillId="2" borderId="1" xfId="0" applyFont="1" applyFill="1" applyBorder="1" applyAlignment="1">
      <alignment horizontal="left" wrapText="1"/>
    </xf>
    <xf numFmtId="0" fontId="9" fillId="2" borderId="1" xfId="0" applyFont="1" applyFill="1" applyBorder="1" applyAlignment="1">
      <alignment horizontal="center" wrapText="1"/>
    </xf>
    <xf numFmtId="0" fontId="9" fillId="2" borderId="0" xfId="0" applyFont="1" applyFill="1" applyAlignment="1">
      <alignment horizontal="left"/>
    </xf>
    <xf numFmtId="0" fontId="9" fillId="2" borderId="0" xfId="0" applyFont="1" applyFill="1" applyAlignment="1">
      <alignment horizontal="center"/>
    </xf>
    <xf numFmtId="3" fontId="9" fillId="2" borderId="0" xfId="0" applyNumberFormat="1" applyFont="1" applyFill="1" applyAlignment="1">
      <alignment horizontal="center"/>
    </xf>
    <xf numFmtId="164" fontId="9" fillId="2" borderId="0" xfId="0" applyNumberFormat="1" applyFont="1" applyFill="1" applyAlignment="1">
      <alignment horizontal="center"/>
    </xf>
    <xf numFmtId="0" fontId="12" fillId="2" borderId="0" xfId="0" applyFont="1" applyFill="1" applyAlignment="1">
      <alignment horizontal="center"/>
    </xf>
    <xf numFmtId="9" fontId="9" fillId="2" borderId="0" xfId="0" applyNumberFormat="1" applyFont="1" applyFill="1" applyAlignment="1">
      <alignment horizontal="center"/>
    </xf>
    <xf numFmtId="0" fontId="8" fillId="2" borderId="0" xfId="0" applyFont="1" applyFill="1" applyAlignment="1">
      <alignment horizontal="left"/>
    </xf>
    <xf numFmtId="0" fontId="15" fillId="2" borderId="0" xfId="1" applyFont="1" applyFill="1" applyAlignment="1">
      <alignment horizontal="left"/>
    </xf>
    <xf numFmtId="0" fontId="11" fillId="2" borderId="0" xfId="0" applyFont="1" applyFill="1" applyAlignment="1">
      <alignment vertical="center"/>
    </xf>
    <xf numFmtId="0" fontId="2" fillId="2" borderId="0" xfId="0" applyFont="1" applyFill="1" applyAlignment="1">
      <alignment vertical="center"/>
    </xf>
    <xf numFmtId="0" fontId="10" fillId="2" borderId="5" xfId="0" applyFont="1" applyFill="1" applyBorder="1" applyAlignment="1">
      <alignment vertical="center" wrapText="1"/>
    </xf>
    <xf numFmtId="0" fontId="16" fillId="2" borderId="5" xfId="0" applyFont="1" applyFill="1" applyBorder="1" applyAlignment="1">
      <alignment horizontal="center" vertical="center" wrapText="1"/>
    </xf>
    <xf numFmtId="0" fontId="9" fillId="2" borderId="5" xfId="0" applyFont="1" applyFill="1" applyBorder="1" applyAlignment="1">
      <alignment horizontal="right" vertical="center" wrapText="1"/>
    </xf>
    <xf numFmtId="0" fontId="2" fillId="2" borderId="0" xfId="0" applyFont="1" applyFill="1" applyAlignment="1">
      <alignment vertical="center" wrapText="1"/>
    </xf>
    <xf numFmtId="0" fontId="17" fillId="2" borderId="6" xfId="0" applyFont="1" applyFill="1" applyBorder="1" applyAlignment="1">
      <alignment horizontal="right" vertical="center"/>
    </xf>
    <xf numFmtId="3" fontId="9" fillId="2" borderId="6" xfId="0" applyNumberFormat="1" applyFont="1" applyFill="1" applyBorder="1" applyAlignment="1">
      <alignment vertical="center"/>
    </xf>
    <xf numFmtId="9" fontId="9" fillId="2" borderId="0" xfId="2" applyFont="1" applyFill="1" applyAlignment="1">
      <alignment horizontal="center" vertical="center"/>
    </xf>
    <xf numFmtId="0" fontId="17" fillId="2" borderId="0" xfId="0" applyFont="1" applyFill="1" applyAlignment="1">
      <alignment horizontal="right" vertical="center"/>
    </xf>
    <xf numFmtId="3" fontId="9" fillId="2" borderId="0" xfId="0" applyNumberFormat="1" applyFont="1" applyFill="1" applyAlignment="1">
      <alignment vertical="center"/>
    </xf>
    <xf numFmtId="164" fontId="9" fillId="2" borderId="0" xfId="0" applyNumberFormat="1" applyFont="1" applyFill="1" applyAlignment="1">
      <alignment vertical="center"/>
    </xf>
    <xf numFmtId="9" fontId="9" fillId="2" borderId="7" xfId="2" applyFont="1" applyFill="1" applyBorder="1" applyAlignment="1">
      <alignment horizontal="center" vertical="center"/>
    </xf>
    <xf numFmtId="0" fontId="9" fillId="2" borderId="8" xfId="0" applyFont="1" applyFill="1" applyBorder="1" applyAlignment="1">
      <alignment horizontal="right" vertical="center"/>
    </xf>
    <xf numFmtId="164" fontId="9" fillId="2" borderId="8" xfId="0" applyNumberFormat="1" applyFont="1" applyFill="1" applyBorder="1" applyAlignment="1">
      <alignment vertical="center"/>
    </xf>
    <xf numFmtId="0" fontId="9" fillId="2" borderId="0" xfId="0" applyFont="1" applyFill="1" applyAlignment="1">
      <alignment horizontal="right" vertical="center"/>
    </xf>
    <xf numFmtId="4" fontId="9" fillId="2" borderId="0" xfId="0" applyNumberFormat="1" applyFont="1" applyFill="1" applyAlignment="1">
      <alignment vertical="center"/>
    </xf>
    <xf numFmtId="0" fontId="9" fillId="2" borderId="7" xfId="0" applyFont="1" applyFill="1" applyBorder="1" applyAlignment="1">
      <alignment horizontal="right" vertical="center"/>
    </xf>
    <xf numFmtId="3" fontId="9" fillId="2" borderId="7" xfId="0" applyNumberFormat="1" applyFont="1" applyFill="1" applyBorder="1" applyAlignment="1">
      <alignment vertical="center"/>
    </xf>
    <xf numFmtId="4" fontId="9" fillId="2" borderId="8" xfId="0" applyNumberFormat="1" applyFont="1" applyFill="1" applyBorder="1" applyAlignment="1">
      <alignment vertical="center"/>
    </xf>
    <xf numFmtId="0" fontId="10" fillId="2" borderId="0" xfId="0" applyFont="1" applyFill="1" applyAlignment="1">
      <alignment horizontal="right" vertical="center"/>
    </xf>
    <xf numFmtId="164" fontId="10" fillId="2" borderId="0" xfId="0" applyNumberFormat="1" applyFont="1" applyFill="1" applyAlignment="1">
      <alignment vertical="center"/>
    </xf>
    <xf numFmtId="0" fontId="10" fillId="2" borderId="1" xfId="0" applyFont="1" applyFill="1" applyBorder="1" applyAlignment="1">
      <alignment horizontal="right" vertical="center"/>
    </xf>
    <xf numFmtId="164" fontId="10" fillId="2" borderId="1" xfId="0" applyNumberFormat="1" applyFont="1" applyFill="1" applyBorder="1" applyAlignment="1">
      <alignment vertical="center"/>
    </xf>
    <xf numFmtId="9" fontId="9" fillId="2" borderId="1" xfId="2" applyFont="1" applyFill="1" applyBorder="1" applyAlignment="1">
      <alignment horizontal="center" vertical="center"/>
    </xf>
    <xf numFmtId="0" fontId="18" fillId="2" borderId="0" xfId="0" applyFont="1" applyFill="1" applyAlignment="1">
      <alignment vertical="center"/>
    </xf>
    <xf numFmtId="0" fontId="5" fillId="2" borderId="0" xfId="0" applyFont="1" applyFill="1" applyAlignment="1">
      <alignment vertical="center"/>
    </xf>
    <xf numFmtId="0" fontId="5" fillId="2" borderId="0" xfId="2" applyNumberFormat="1" applyFont="1" applyFill="1" applyAlignment="1">
      <alignment vertical="center"/>
    </xf>
    <xf numFmtId="0" fontId="22" fillId="2" borderId="0" xfId="0" applyFont="1" applyFill="1" applyAlignment="1">
      <alignment vertical="center"/>
    </xf>
    <xf numFmtId="0" fontId="22" fillId="2" borderId="0" xfId="0" applyFont="1" applyFill="1" applyAlignment="1">
      <alignment horizontal="right" vertical="center"/>
    </xf>
    <xf numFmtId="0" fontId="23" fillId="2" borderId="0" xfId="0" applyFont="1" applyFill="1" applyAlignment="1">
      <alignment vertical="center"/>
    </xf>
    <xf numFmtId="9" fontId="5" fillId="2" borderId="0" xfId="2" applyFont="1" applyFill="1" applyAlignment="1">
      <alignment vertical="center"/>
    </xf>
    <xf numFmtId="0" fontId="16" fillId="2" borderId="5" xfId="0" applyFont="1" applyFill="1" applyBorder="1" applyAlignment="1">
      <alignment horizontal="right" vertical="center" wrapText="1"/>
    </xf>
    <xf numFmtId="0" fontId="9" fillId="7" borderId="5" xfId="0" applyFont="1" applyFill="1" applyBorder="1" applyAlignment="1">
      <alignment horizontal="right" vertical="center" wrapText="1"/>
    </xf>
    <xf numFmtId="0" fontId="9" fillId="2" borderId="0" xfId="0" applyFont="1" applyFill="1" applyAlignment="1">
      <alignment vertical="center"/>
    </xf>
    <xf numFmtId="0" fontId="9" fillId="7" borderId="0" xfId="0" applyFont="1" applyFill="1" applyAlignment="1">
      <alignment vertical="center"/>
    </xf>
    <xf numFmtId="166" fontId="9" fillId="2" borderId="8" xfId="0" applyNumberFormat="1" applyFont="1" applyFill="1" applyBorder="1" applyAlignment="1">
      <alignment vertical="center"/>
    </xf>
    <xf numFmtId="166" fontId="9" fillId="7" borderId="8" xfId="0" applyNumberFormat="1" applyFont="1" applyFill="1" applyBorder="1" applyAlignment="1">
      <alignment vertical="center"/>
    </xf>
    <xf numFmtId="1" fontId="9" fillId="2" borderId="0" xfId="0" applyNumberFormat="1" applyFont="1" applyFill="1" applyAlignment="1">
      <alignment vertical="center"/>
    </xf>
    <xf numFmtId="1" fontId="9" fillId="7" borderId="0" xfId="0" applyNumberFormat="1" applyFont="1" applyFill="1" applyAlignment="1">
      <alignment vertical="center"/>
    </xf>
    <xf numFmtId="164" fontId="9" fillId="7" borderId="0" xfId="0" applyNumberFormat="1" applyFont="1" applyFill="1" applyAlignment="1">
      <alignment vertical="center"/>
    </xf>
    <xf numFmtId="2" fontId="9" fillId="2" borderId="0" xfId="0" applyNumberFormat="1" applyFont="1" applyFill="1" applyAlignment="1">
      <alignment vertical="center"/>
    </xf>
    <xf numFmtId="2" fontId="9" fillId="7" borderId="0" xfId="0" applyNumberFormat="1" applyFont="1" applyFill="1" applyAlignment="1">
      <alignment vertical="center"/>
    </xf>
    <xf numFmtId="3" fontId="9" fillId="7" borderId="7" xfId="0" applyNumberFormat="1" applyFont="1" applyFill="1" applyBorder="1" applyAlignment="1">
      <alignment vertical="center"/>
    </xf>
    <xf numFmtId="2" fontId="9" fillId="2" borderId="8" xfId="0" applyNumberFormat="1" applyFont="1" applyFill="1" applyBorder="1" applyAlignment="1">
      <alignment vertical="center"/>
    </xf>
    <xf numFmtId="2" fontId="9" fillId="7" borderId="8" xfId="0" applyNumberFormat="1" applyFont="1" applyFill="1" applyBorder="1" applyAlignment="1">
      <alignment vertical="center"/>
    </xf>
    <xf numFmtId="2" fontId="9" fillId="2" borderId="7" xfId="0" applyNumberFormat="1" applyFont="1" applyFill="1" applyBorder="1" applyAlignment="1">
      <alignment vertical="center"/>
    </xf>
    <xf numFmtId="2" fontId="9" fillId="7" borderId="7" xfId="0" applyNumberFormat="1" applyFont="1" applyFill="1" applyBorder="1" applyAlignment="1">
      <alignment vertical="center"/>
    </xf>
    <xf numFmtId="166" fontId="9" fillId="2" borderId="0" xfId="0" applyNumberFormat="1" applyFont="1" applyFill="1" applyAlignment="1">
      <alignment vertical="center"/>
    </xf>
    <xf numFmtId="166" fontId="9" fillId="7" borderId="0" xfId="0" applyNumberFormat="1" applyFont="1" applyFill="1" applyAlignment="1">
      <alignment vertical="center"/>
    </xf>
    <xf numFmtId="3" fontId="9" fillId="7" borderId="0" xfId="0" applyNumberFormat="1" applyFont="1" applyFill="1" applyAlignment="1">
      <alignment vertical="center"/>
    </xf>
    <xf numFmtId="0" fontId="26" fillId="2" borderId="0" xfId="0" applyFont="1" applyFill="1" applyAlignment="1">
      <alignment vertical="center"/>
    </xf>
    <xf numFmtId="3" fontId="26" fillId="2" borderId="0" xfId="0" applyNumberFormat="1" applyFont="1" applyFill="1" applyAlignment="1">
      <alignment vertical="center"/>
    </xf>
    <xf numFmtId="3" fontId="9" fillId="2" borderId="8" xfId="0" applyNumberFormat="1" applyFont="1" applyFill="1" applyBorder="1" applyAlignment="1">
      <alignment vertical="center"/>
    </xf>
    <xf numFmtId="3" fontId="9" fillId="7" borderId="8" xfId="0" applyNumberFormat="1" applyFont="1" applyFill="1" applyBorder="1" applyAlignment="1">
      <alignment vertical="center"/>
    </xf>
    <xf numFmtId="9" fontId="26" fillId="2" borderId="0" xfId="2" applyFont="1" applyFill="1" applyAlignment="1">
      <alignment vertical="center"/>
    </xf>
    <xf numFmtId="9" fontId="5" fillId="2" borderId="0" xfId="2" applyFont="1" applyFill="1" applyAlignment="1">
      <alignment vertical="center" wrapText="1"/>
    </xf>
    <xf numFmtId="0" fontId="5" fillId="2" borderId="0" xfId="2" applyNumberFormat="1" applyFont="1" applyFill="1" applyAlignment="1">
      <alignment vertical="center" wrapText="1"/>
    </xf>
    <xf numFmtId="0" fontId="11" fillId="9" borderId="0" xfId="0" applyFont="1" applyFill="1" applyAlignment="1">
      <alignment vertical="center"/>
    </xf>
    <xf numFmtId="0" fontId="4" fillId="9" borderId="0" xfId="0" applyFont="1" applyFill="1" applyAlignment="1">
      <alignment vertical="center"/>
    </xf>
    <xf numFmtId="0" fontId="2" fillId="9" borderId="0" xfId="0" applyFont="1" applyFill="1" applyAlignment="1">
      <alignment vertical="center"/>
    </xf>
    <xf numFmtId="0" fontId="9" fillId="10" borderId="3" xfId="0" applyFont="1" applyFill="1" applyBorder="1" applyAlignment="1">
      <alignment horizontal="center" vertical="center" wrapText="1"/>
    </xf>
    <xf numFmtId="0" fontId="18" fillId="9" borderId="0" xfId="0" applyFont="1" applyFill="1" applyAlignment="1">
      <alignment vertical="center"/>
    </xf>
    <xf numFmtId="0" fontId="19" fillId="9" borderId="0" xfId="0" applyFont="1" applyFill="1" applyAlignment="1">
      <alignment horizontal="right" vertical="center"/>
    </xf>
    <xf numFmtId="164" fontId="20" fillId="9" borderId="0" xfId="0" applyNumberFormat="1" applyFont="1" applyFill="1" applyAlignment="1">
      <alignment vertical="center"/>
    </xf>
    <xf numFmtId="164" fontId="9" fillId="9" borderId="0" xfId="0" applyNumberFormat="1" applyFont="1" applyFill="1" applyAlignment="1">
      <alignment horizontal="center" vertical="center"/>
    </xf>
    <xf numFmtId="164" fontId="10" fillId="9" borderId="0" xfId="0" applyNumberFormat="1" applyFont="1" applyFill="1" applyAlignment="1">
      <alignment vertical="center"/>
    </xf>
    <xf numFmtId="9" fontId="10" fillId="9" borderId="0" xfId="2" applyFont="1" applyFill="1" applyAlignment="1">
      <alignment horizontal="center" vertical="center"/>
    </xf>
    <xf numFmtId="164" fontId="20" fillId="9" borderId="9" xfId="0" applyNumberFormat="1" applyFont="1" applyFill="1" applyBorder="1" applyAlignment="1">
      <alignment vertical="center"/>
    </xf>
    <xf numFmtId="164" fontId="9" fillId="9" borderId="9" xfId="0" applyNumberFormat="1" applyFont="1" applyFill="1" applyBorder="1" applyAlignment="1">
      <alignment horizontal="center" vertical="center"/>
    </xf>
    <xf numFmtId="164" fontId="12" fillId="9" borderId="9" xfId="0" applyNumberFormat="1" applyFont="1" applyFill="1" applyBorder="1" applyAlignment="1">
      <alignment horizontal="center" vertical="center"/>
    </xf>
    <xf numFmtId="0" fontId="21" fillId="9" borderId="0" xfId="0" applyFont="1" applyFill="1"/>
    <xf numFmtId="0" fontId="5" fillId="9" borderId="0" xfId="0" applyFont="1" applyFill="1" applyAlignment="1">
      <alignment vertical="center"/>
    </xf>
    <xf numFmtId="165" fontId="5" fillId="9" borderId="0" xfId="2" applyNumberFormat="1" applyFont="1" applyFill="1" applyAlignment="1">
      <alignment vertical="center"/>
    </xf>
    <xf numFmtId="0" fontId="5" fillId="9" borderId="0" xfId="2" applyNumberFormat="1" applyFont="1" applyFill="1" applyAlignment="1">
      <alignment vertical="center"/>
    </xf>
    <xf numFmtId="0" fontId="22" fillId="9" borderId="0" xfId="0" applyFont="1" applyFill="1" applyAlignment="1">
      <alignment vertical="center"/>
    </xf>
    <xf numFmtId="0" fontId="22" fillId="9" borderId="0" xfId="0" applyFont="1" applyFill="1" applyAlignment="1">
      <alignment horizontal="right" vertical="center"/>
    </xf>
    <xf numFmtId="0" fontId="23" fillId="9" borderId="0" xfId="0" applyFont="1" applyFill="1" applyAlignment="1">
      <alignment vertical="center"/>
    </xf>
    <xf numFmtId="9" fontId="5" fillId="9" borderId="0" xfId="2" applyFont="1" applyFill="1" applyAlignment="1">
      <alignment vertical="center"/>
    </xf>
    <xf numFmtId="0" fontId="5" fillId="9" borderId="0" xfId="0" applyFont="1" applyFill="1" applyAlignment="1">
      <alignment horizontal="right" vertical="center"/>
    </xf>
    <xf numFmtId="4" fontId="5" fillId="9" borderId="0" xfId="0" applyNumberFormat="1" applyFont="1" applyFill="1" applyAlignment="1">
      <alignment vertical="center"/>
    </xf>
    <xf numFmtId="0" fontId="24" fillId="9" borderId="0" xfId="0" applyFont="1" applyFill="1" applyAlignment="1">
      <alignment horizontal="left"/>
    </xf>
    <xf numFmtId="0" fontId="25" fillId="9" borderId="0" xfId="0" applyFont="1" applyFill="1" applyAlignment="1">
      <alignment vertical="center"/>
    </xf>
    <xf numFmtId="0" fontId="3" fillId="9" borderId="0" xfId="0" applyFont="1" applyFill="1" applyAlignment="1">
      <alignment vertical="center"/>
    </xf>
    <xf numFmtId="0" fontId="15" fillId="2" borderId="0" xfId="1" applyFont="1" applyFill="1" applyAlignment="1">
      <alignment horizontal="left" indent="2"/>
    </xf>
    <xf numFmtId="0" fontId="8" fillId="2" borderId="0" xfId="0" applyFont="1" applyFill="1" applyAlignment="1">
      <alignment horizontal="right" vertical="center"/>
    </xf>
    <xf numFmtId="0" fontId="8" fillId="2" borderId="0" xfId="0" applyFont="1" applyFill="1" applyAlignment="1">
      <alignment vertical="center"/>
    </xf>
    <xf numFmtId="0" fontId="10" fillId="2" borderId="5" xfId="0" applyFont="1" applyFill="1" applyBorder="1" applyAlignment="1">
      <alignment vertical="center"/>
    </xf>
    <xf numFmtId="0" fontId="9" fillId="2" borderId="5" xfId="0" applyFont="1" applyFill="1" applyBorder="1" applyAlignment="1">
      <alignment horizontal="center" vertical="center"/>
    </xf>
    <xf numFmtId="0" fontId="9" fillId="2" borderId="5" xfId="0" applyFont="1" applyFill="1" applyBorder="1" applyAlignment="1">
      <alignment horizontal="right" vertical="center"/>
    </xf>
    <xf numFmtId="1" fontId="9" fillId="2" borderId="0" xfId="0" applyNumberFormat="1" applyFont="1" applyFill="1" applyAlignment="1">
      <alignment horizontal="left" vertical="center"/>
    </xf>
    <xf numFmtId="9" fontId="9" fillId="2" borderId="0" xfId="2" applyFont="1" applyFill="1" applyAlignment="1">
      <alignment horizontal="right" vertical="center"/>
    </xf>
    <xf numFmtId="0" fontId="9" fillId="2" borderId="0" xfId="0" applyFont="1" applyFill="1" applyAlignment="1">
      <alignment horizontal="left" vertical="center"/>
    </xf>
    <xf numFmtId="0" fontId="9" fillId="2" borderId="1" xfId="0" applyFont="1" applyFill="1" applyBorder="1" applyAlignment="1">
      <alignment horizontal="left" vertical="center"/>
    </xf>
    <xf numFmtId="0" fontId="8" fillId="2" borderId="1" xfId="0" applyFont="1" applyFill="1" applyBorder="1" applyAlignment="1">
      <alignment vertical="center"/>
    </xf>
    <xf numFmtId="9" fontId="9" fillId="2" borderId="1" xfId="2" applyFont="1" applyFill="1" applyBorder="1" applyAlignment="1">
      <alignment horizontal="right" vertical="center"/>
    </xf>
    <xf numFmtId="9" fontId="28" fillId="2" borderId="0" xfId="2" applyFont="1" applyFill="1" applyAlignment="1">
      <alignment horizontal="right" vertical="center"/>
    </xf>
    <xf numFmtId="0" fontId="9" fillId="2" borderId="5" xfId="0" quotePrefix="1" applyFont="1" applyFill="1" applyBorder="1" applyAlignment="1">
      <alignment horizontal="right" vertical="center"/>
    </xf>
    <xf numFmtId="0" fontId="9" fillId="2" borderId="1" xfId="0" applyFont="1" applyFill="1" applyBorder="1" applyAlignment="1">
      <alignment vertical="center"/>
    </xf>
    <xf numFmtId="9" fontId="28" fillId="2" borderId="1" xfId="2" applyFont="1" applyFill="1" applyBorder="1" applyAlignment="1">
      <alignment horizontal="right" vertical="center"/>
    </xf>
    <xf numFmtId="0" fontId="14" fillId="2" borderId="0" xfId="1" applyFont="1" applyFill="1" applyAlignment="1">
      <alignment horizontal="left"/>
    </xf>
    <xf numFmtId="0" fontId="10" fillId="2" borderId="0" xfId="0" applyFont="1" applyFill="1" applyAlignment="1">
      <alignment vertical="center"/>
    </xf>
    <xf numFmtId="0" fontId="10" fillId="2" borderId="1" xfId="0" applyFont="1" applyFill="1" applyBorder="1" applyAlignment="1">
      <alignment vertical="center"/>
    </xf>
    <xf numFmtId="0" fontId="9" fillId="2" borderId="1" xfId="0" applyFont="1" applyFill="1" applyBorder="1" applyAlignment="1">
      <alignment horizontal="right" vertical="center"/>
    </xf>
    <xf numFmtId="0" fontId="9" fillId="2" borderId="12" xfId="0" applyFont="1" applyFill="1" applyBorder="1" applyAlignment="1">
      <alignment horizontal="left" vertical="center"/>
    </xf>
    <xf numFmtId="9" fontId="9" fillId="2" borderId="12" xfId="2" applyFont="1" applyFill="1" applyBorder="1" applyAlignment="1">
      <alignment horizontal="right" vertical="center"/>
    </xf>
    <xf numFmtId="0" fontId="30" fillId="2" borderId="13" xfId="3" applyFont="1" applyFill="1" applyBorder="1" applyAlignment="1">
      <alignment vertical="center"/>
    </xf>
    <xf numFmtId="0" fontId="17" fillId="2" borderId="0" xfId="3" applyFont="1" applyFill="1"/>
    <xf numFmtId="0" fontId="30" fillId="2" borderId="15" xfId="3" applyFont="1" applyFill="1" applyBorder="1" applyAlignment="1">
      <alignment horizontal="center" wrapText="1"/>
    </xf>
    <xf numFmtId="0" fontId="30" fillId="2" borderId="16" xfId="3" applyFont="1" applyFill="1" applyBorder="1" applyAlignment="1">
      <alignment horizontal="center" wrapText="1"/>
    </xf>
    <xf numFmtId="0" fontId="17" fillId="2" borderId="17" xfId="3" applyFont="1" applyFill="1" applyBorder="1" applyAlignment="1">
      <alignment horizontal="center" vertical="center"/>
    </xf>
    <xf numFmtId="0" fontId="17" fillId="2" borderId="18" xfId="3" applyFont="1" applyFill="1" applyBorder="1" applyAlignment="1">
      <alignment vertical="center" wrapText="1"/>
    </xf>
    <xf numFmtId="0" fontId="17" fillId="2" borderId="18" xfId="3" applyFont="1" applyFill="1" applyBorder="1" applyAlignment="1">
      <alignment horizontal="center" vertical="center" wrapText="1"/>
    </xf>
    <xf numFmtId="0" fontId="17" fillId="2" borderId="18" xfId="3" applyFont="1" applyFill="1" applyBorder="1" applyAlignment="1">
      <alignment horizontal="center" vertical="center"/>
    </xf>
    <xf numFmtId="0" fontId="17" fillId="2" borderId="19" xfId="3" applyFont="1" applyFill="1" applyBorder="1" applyAlignment="1">
      <alignment horizontal="center" vertical="center"/>
    </xf>
    <xf numFmtId="0" fontId="17" fillId="2" borderId="9" xfId="3" applyFont="1" applyFill="1" applyBorder="1" applyAlignment="1">
      <alignment vertical="center" wrapText="1"/>
    </xf>
    <xf numFmtId="0" fontId="17" fillId="2" borderId="9" xfId="3" applyFont="1" applyFill="1" applyBorder="1" applyAlignment="1">
      <alignment horizontal="center" vertical="center" wrapText="1"/>
    </xf>
    <xf numFmtId="0" fontId="17" fillId="2" borderId="9" xfId="3" applyFont="1" applyFill="1" applyBorder="1" applyAlignment="1">
      <alignment horizontal="center" vertical="center"/>
    </xf>
    <xf numFmtId="0" fontId="17" fillId="2" borderId="20" xfId="3" applyFont="1" applyFill="1" applyBorder="1" applyAlignment="1">
      <alignment horizontal="center" vertical="center"/>
    </xf>
    <xf numFmtId="0" fontId="17" fillId="2" borderId="21" xfId="3" applyFont="1" applyFill="1" applyBorder="1" applyAlignment="1">
      <alignment vertical="center" wrapText="1"/>
    </xf>
    <xf numFmtId="0" fontId="17" fillId="2" borderId="21" xfId="3" applyFont="1" applyFill="1" applyBorder="1" applyAlignment="1">
      <alignment horizontal="center" vertical="center" wrapText="1"/>
    </xf>
    <xf numFmtId="0" fontId="17" fillId="2" borderId="21" xfId="3" applyFont="1" applyFill="1" applyBorder="1" applyAlignment="1">
      <alignment horizontal="center" vertical="center"/>
    </xf>
    <xf numFmtId="0" fontId="17" fillId="2" borderId="22" xfId="3" applyFont="1" applyFill="1" applyBorder="1" applyAlignment="1">
      <alignment horizontal="center" vertical="center"/>
    </xf>
    <xf numFmtId="0" fontId="17" fillId="2" borderId="23" xfId="3" applyFont="1" applyFill="1" applyBorder="1" applyAlignment="1">
      <alignment vertical="center" wrapText="1"/>
    </xf>
    <xf numFmtId="0" fontId="17" fillId="2" borderId="23" xfId="3" applyFont="1" applyFill="1" applyBorder="1" applyAlignment="1">
      <alignment horizontal="center" vertical="center" wrapText="1"/>
    </xf>
    <xf numFmtId="0" fontId="17" fillId="2" borderId="23" xfId="3" applyFont="1" applyFill="1" applyBorder="1" applyAlignment="1">
      <alignment horizontal="center" vertical="center"/>
    </xf>
    <xf numFmtId="0" fontId="17" fillId="2" borderId="24" xfId="3" applyFont="1" applyFill="1" applyBorder="1" applyAlignment="1">
      <alignment horizontal="center" vertical="center"/>
    </xf>
    <xf numFmtId="0" fontId="17" fillId="2" borderId="0" xfId="3" applyFont="1" applyFill="1" applyAlignment="1">
      <alignment horizontal="center"/>
    </xf>
    <xf numFmtId="0" fontId="17" fillId="2" borderId="0" xfId="3" applyFont="1" applyFill="1" applyAlignment="1">
      <alignment horizontal="center" wrapText="1"/>
    </xf>
    <xf numFmtId="0" fontId="14" fillId="2" borderId="3" xfId="1" applyFont="1" applyFill="1" applyBorder="1" applyAlignment="1">
      <alignment horizontal="center" vertical="center" wrapText="1"/>
    </xf>
    <xf numFmtId="0" fontId="2" fillId="2" borderId="0" xfId="0" applyFont="1" applyFill="1"/>
    <xf numFmtId="0" fontId="31" fillId="2" borderId="0" xfId="0" applyFont="1" applyFill="1" applyAlignment="1">
      <alignment horizontal="center" vertical="top" wrapText="1"/>
    </xf>
    <xf numFmtId="0" fontId="31" fillId="2" borderId="0" xfId="0" applyFont="1" applyFill="1" applyAlignment="1">
      <alignment horizontal="center" vertical="top"/>
    </xf>
    <xf numFmtId="0" fontId="1" fillId="2" borderId="0" xfId="0" applyFont="1" applyFill="1" applyAlignment="1">
      <alignment horizontal="left" vertical="center" wrapText="1"/>
    </xf>
    <xf numFmtId="0" fontId="1" fillId="2" borderId="0" xfId="0" applyFont="1" applyFill="1" applyAlignment="1">
      <alignment horizontal="left" vertical="center" wrapText="1"/>
    </xf>
    <xf numFmtId="0" fontId="31" fillId="2" borderId="0" xfId="0" applyFont="1" applyFill="1" applyAlignment="1">
      <alignment horizontal="left" vertical="center" wrapText="1"/>
    </xf>
    <xf numFmtId="0" fontId="32" fillId="2" borderId="0" xfId="0" applyFont="1" applyFill="1" applyAlignment="1">
      <alignment horizontal="left" wrapText="1"/>
    </xf>
    <xf numFmtId="0" fontId="10" fillId="2" borderId="0" xfId="0" applyFont="1" applyFill="1" applyAlignment="1">
      <alignment horizontal="left" vertical="center" wrapText="1"/>
    </xf>
    <xf numFmtId="0" fontId="10" fillId="2" borderId="0" xfId="0" applyFont="1" applyFill="1" applyAlignment="1">
      <alignment horizontal="left" wrapText="1"/>
    </xf>
    <xf numFmtId="0" fontId="30" fillId="2" borderId="0" xfId="0" applyFont="1" applyFill="1" applyAlignment="1">
      <alignment horizontal="left" vertical="top" wrapText="1"/>
    </xf>
    <xf numFmtId="0" fontId="30" fillId="2" borderId="0" xfId="0" applyFont="1" applyFill="1" applyAlignment="1">
      <alignment horizontal="left" wrapText="1"/>
    </xf>
    <xf numFmtId="0" fontId="33" fillId="0" borderId="0" xfId="0" applyFont="1" applyAlignment="1">
      <alignment horizontal="left" vertical="top" wrapText="1"/>
    </xf>
    <xf numFmtId="0" fontId="30" fillId="2" borderId="5" xfId="3" applyFont="1" applyFill="1" applyBorder="1" applyAlignment="1">
      <alignment horizontal="center" vertical="center"/>
    </xf>
    <xf numFmtId="0" fontId="30" fillId="2" borderId="13" xfId="3" applyFont="1" applyFill="1" applyBorder="1" applyAlignment="1">
      <alignment horizontal="center"/>
    </xf>
    <xf numFmtId="0" fontId="30" fillId="2" borderId="14" xfId="3" applyFont="1" applyFill="1" applyBorder="1" applyAlignment="1">
      <alignment horizontal="center"/>
    </xf>
    <xf numFmtId="0" fontId="14" fillId="2" borderId="0" xfId="1" applyFont="1" applyFill="1" applyAlignment="1">
      <alignment horizontal="center" vertical="center" wrapText="1"/>
    </xf>
    <xf numFmtId="0" fontId="4" fillId="6" borderId="8" xfId="0" applyFont="1" applyFill="1" applyBorder="1" applyAlignment="1">
      <alignment horizontal="center" vertical="center" textRotation="90" wrapText="1"/>
    </xf>
    <xf numFmtId="0" fontId="4" fillId="6" borderId="0" xfId="0" applyFont="1" applyFill="1" applyAlignment="1">
      <alignment horizontal="center" vertical="center" textRotation="90" wrapText="1"/>
    </xf>
    <xf numFmtId="0" fontId="4" fillId="6" borderId="7" xfId="0" applyFont="1" applyFill="1" applyBorder="1" applyAlignment="1">
      <alignment horizontal="center" vertical="center" textRotation="90" wrapText="1"/>
    </xf>
    <xf numFmtId="0" fontId="27" fillId="9" borderId="4" xfId="1" applyFont="1" applyFill="1" applyBorder="1" applyAlignment="1">
      <alignment horizontal="center" vertical="center" wrapText="1"/>
    </xf>
    <xf numFmtId="0" fontId="27" fillId="9" borderId="2" xfId="1" applyFont="1" applyFill="1" applyBorder="1" applyAlignment="1">
      <alignment horizontal="center" vertical="center" wrapText="1"/>
    </xf>
    <xf numFmtId="0" fontId="4" fillId="4" borderId="6" xfId="0" applyFont="1" applyFill="1" applyBorder="1" applyAlignment="1">
      <alignment horizontal="center" vertical="center" textRotation="90" wrapText="1"/>
    </xf>
    <xf numFmtId="0" fontId="4" fillId="4" borderId="0" xfId="0" applyFont="1" applyFill="1" applyAlignment="1">
      <alignment horizontal="center" vertical="center" textRotation="90"/>
    </xf>
    <xf numFmtId="0" fontId="4" fillId="5" borderId="8" xfId="0" applyFont="1" applyFill="1" applyBorder="1" applyAlignment="1">
      <alignment horizontal="center" vertical="center" textRotation="90" wrapText="1"/>
    </xf>
    <xf numFmtId="0" fontId="4" fillId="5" borderId="0" xfId="0" applyFont="1" applyFill="1" applyAlignment="1">
      <alignment horizontal="center" vertical="center" textRotation="90"/>
    </xf>
    <xf numFmtId="0" fontId="4" fillId="5" borderId="7" xfId="0" applyFont="1" applyFill="1" applyBorder="1" applyAlignment="1">
      <alignment horizontal="center" vertical="center" textRotation="90"/>
    </xf>
    <xf numFmtId="0" fontId="4" fillId="3" borderId="0" xfId="0" applyFont="1" applyFill="1" applyAlignment="1">
      <alignment horizontal="center" vertical="center" textRotation="90" wrapText="1"/>
    </xf>
    <xf numFmtId="0" fontId="4" fillId="3" borderId="7" xfId="0" applyFont="1" applyFill="1" applyBorder="1" applyAlignment="1">
      <alignment horizontal="center" vertical="center" textRotation="90" wrapText="1"/>
    </xf>
    <xf numFmtId="0" fontId="4" fillId="6" borderId="0" xfId="0" applyFont="1" applyFill="1" applyAlignment="1">
      <alignment horizontal="center" vertical="center" textRotation="90"/>
    </xf>
    <xf numFmtId="0" fontId="4" fillId="6" borderId="1" xfId="0" applyFont="1" applyFill="1" applyBorder="1" applyAlignment="1">
      <alignment horizontal="center" vertical="center" textRotation="90"/>
    </xf>
    <xf numFmtId="0" fontId="20" fillId="9" borderId="0" xfId="0" applyFont="1" applyFill="1" applyAlignment="1">
      <alignment horizontal="center" vertical="center"/>
    </xf>
    <xf numFmtId="0" fontId="20" fillId="9" borderId="9" xfId="0" applyFont="1" applyFill="1" applyBorder="1" applyAlignment="1">
      <alignment horizontal="center" vertical="center"/>
    </xf>
    <xf numFmtId="0" fontId="9" fillId="9" borderId="10" xfId="0" applyFont="1" applyFill="1" applyBorder="1" applyAlignment="1">
      <alignment horizontal="center" vertical="center"/>
    </xf>
    <xf numFmtId="0" fontId="9" fillId="9" borderId="11" xfId="0" applyFont="1" applyFill="1" applyBorder="1" applyAlignment="1">
      <alignment horizontal="center" vertical="center"/>
    </xf>
    <xf numFmtId="0" fontId="4" fillId="8" borderId="8" xfId="0" applyFont="1" applyFill="1" applyBorder="1" applyAlignment="1">
      <alignment horizontal="center" vertical="center" textRotation="90" wrapText="1"/>
    </xf>
    <xf numFmtId="0" fontId="4" fillId="8" borderId="0" xfId="0" applyFont="1" applyFill="1" applyAlignment="1">
      <alignment horizontal="center" vertical="center" textRotation="90" wrapText="1"/>
    </xf>
    <xf numFmtId="0" fontId="4" fillId="8" borderId="7" xfId="0" applyFont="1" applyFill="1" applyBorder="1" applyAlignment="1">
      <alignment horizontal="center" vertical="center" textRotation="90" wrapText="1"/>
    </xf>
    <xf numFmtId="0" fontId="4" fillId="3" borderId="8" xfId="0" applyFont="1" applyFill="1" applyBorder="1" applyAlignment="1">
      <alignment horizontal="center" vertical="center" textRotation="90"/>
    </xf>
    <xf numFmtId="0" fontId="4" fillId="3" borderId="0" xfId="0" applyFont="1" applyFill="1" applyAlignment="1">
      <alignment horizontal="center" vertical="center" textRotation="90"/>
    </xf>
    <xf numFmtId="0" fontId="14" fillId="2" borderId="0" xfId="1" applyFont="1" applyFill="1" applyAlignment="1">
      <alignment horizontal="right" vertical="center" wrapText="1"/>
    </xf>
    <xf numFmtId="0" fontId="4" fillId="2" borderId="0" xfId="0" applyFont="1" applyFill="1" applyAlignment="1">
      <alignment horizontal="left" vertical="center" wrapText="1"/>
    </xf>
    <xf numFmtId="0" fontId="14" fillId="2" borderId="1" xfId="1" applyFont="1" applyFill="1" applyBorder="1" applyAlignment="1">
      <alignment horizontal="right" vertical="center" wrapText="1"/>
    </xf>
    <xf numFmtId="0" fontId="1" fillId="2" borderId="0" xfId="0" applyFont="1" applyFill="1" applyAlignment="1">
      <alignment horizontal="left" wrapText="1"/>
    </xf>
    <xf numFmtId="0" fontId="1" fillId="2" borderId="0" xfId="0" applyFont="1" applyFill="1" applyAlignment="1">
      <alignment horizontal="left" wrapText="1"/>
    </xf>
    <xf numFmtId="0" fontId="31" fillId="2" borderId="0" xfId="0" applyFont="1" applyFill="1" applyAlignment="1"/>
    <xf numFmtId="0" fontId="9" fillId="2" borderId="0" xfId="0" applyFont="1" applyFill="1" applyAlignment="1"/>
    <xf numFmtId="0" fontId="32" fillId="2" borderId="0" xfId="0" applyFont="1" applyFill="1" applyAlignment="1"/>
    <xf numFmtId="0" fontId="1" fillId="2" borderId="0" xfId="0" applyFont="1" applyFill="1"/>
    <xf numFmtId="0" fontId="1" fillId="2" borderId="0" xfId="0" applyFont="1" applyFill="1" applyAlignment="1"/>
    <xf numFmtId="0" fontId="1" fillId="2" borderId="0" xfId="0" applyFont="1" applyFill="1" applyAlignment="1">
      <alignment vertical="center" wrapText="1"/>
    </xf>
    <xf numFmtId="0" fontId="1" fillId="2" borderId="0" xfId="0" applyFont="1" applyFill="1" applyAlignment="1">
      <alignment vertical="center" wrapText="1"/>
    </xf>
    <xf numFmtId="0" fontId="1" fillId="2" borderId="0" xfId="0" applyFont="1" applyFill="1" applyAlignment="1">
      <alignment wrapText="1"/>
    </xf>
    <xf numFmtId="0" fontId="1" fillId="9" borderId="0" xfId="0" applyFont="1" applyFill="1" applyAlignment="1">
      <alignment vertical="center"/>
    </xf>
    <xf numFmtId="0" fontId="1" fillId="9" borderId="1" xfId="0" applyFont="1" applyFill="1" applyBorder="1" applyAlignment="1">
      <alignment vertical="center"/>
    </xf>
    <xf numFmtId="0" fontId="1" fillId="9" borderId="2" xfId="0" applyFont="1" applyFill="1" applyBorder="1" applyAlignment="1">
      <alignment horizontal="right" vertical="center"/>
    </xf>
    <xf numFmtId="0" fontId="1" fillId="2" borderId="5" xfId="0" applyFont="1" applyFill="1" applyBorder="1" applyAlignment="1">
      <alignment vertical="center" wrapText="1"/>
    </xf>
    <xf numFmtId="0" fontId="1" fillId="2" borderId="0" xfId="0" applyFont="1" applyFill="1" applyAlignment="1">
      <alignment vertical="center"/>
    </xf>
    <xf numFmtId="164" fontId="1" fillId="2" borderId="0" xfId="0" applyNumberFormat="1" applyFont="1" applyFill="1" applyAlignment="1">
      <alignment vertical="center"/>
    </xf>
  </cellXfs>
  <cellStyles count="4">
    <cellStyle name="Hyperlink" xfId="1" builtinId="8"/>
    <cellStyle name="Normal" xfId="0" builtinId="0"/>
    <cellStyle name="Normal 2 2" xfId="3" xr:uid="{4C7CB006-AE02-4CEF-BA45-CBDF08C5A5AE}"/>
    <cellStyle name="Percent 2" xfId="2" xr:uid="{696AF511-1DF7-4449-B040-06A35791FA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trawl'!$A$48</c:f>
          <c:strCache>
            <c:ptCount val="1"/>
            <c:pt idx="0">
              <c:v>Landings per kW day at sea (kg)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1D85-4A3C-8BB5-964961D266C6}"/>
              </c:ext>
            </c:extLst>
          </c:dPt>
          <c:dPt>
            <c:idx val="10"/>
            <c:bubble3D val="0"/>
            <c:spPr>
              <a:ln w="57150">
                <a:solidFill>
                  <a:srgbClr val="2273B9"/>
                </a:solidFill>
                <a:prstDash val="sysDot"/>
              </a:ln>
            </c:spPr>
            <c:extLst>
              <c:ext xmlns:c16="http://schemas.microsoft.com/office/drawing/2014/chart" uri="{C3380CC4-5D6E-409C-BE32-E72D297353CC}">
                <c16:uniqueId val="{00000003-1D85-4A3C-8BB5-964961D266C6}"/>
              </c:ext>
            </c:extLst>
          </c:dPt>
          <c:cat>
            <c:numRef>
              <c:f>'Area VIIa demersal trawl'!$D$2:$N$2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'Area VIIa demersal trawl'!$D$21:$N$21</c:f>
              <c:numCache>
                <c:formatCode>#,##0.00</c:formatCode>
                <c:ptCount val="11"/>
                <c:pt idx="0">
                  <c:v>3.6726602234881476</c:v>
                </c:pt>
                <c:pt idx="1">
                  <c:v>3.1766208160997804</c:v>
                </c:pt>
                <c:pt idx="2">
                  <c:v>9.0302183956802242</c:v>
                </c:pt>
                <c:pt idx="3">
                  <c:v>5.0591183343934532</c:v>
                </c:pt>
                <c:pt idx="4">
                  <c:v>4.0653059428622118</c:v>
                </c:pt>
                <c:pt idx="5">
                  <c:v>4.2261352852664862</c:v>
                </c:pt>
                <c:pt idx="6">
                  <c:v>3.6625630452172468</c:v>
                </c:pt>
                <c:pt idx="7">
                  <c:v>3.3285495658737556</c:v>
                </c:pt>
                <c:pt idx="8">
                  <c:v>4.0765249479553862</c:v>
                </c:pt>
                <c:pt idx="9">
                  <c:v>3.4713440508400826</c:v>
                </c:pt>
                <c:pt idx="10">
                  <c:v>2.6434324748556652</c:v>
                </c:pt>
              </c:numCache>
            </c:numRef>
          </c:val>
          <c:smooth val="0"/>
          <c:extLst>
            <c:ext xmlns:c16="http://schemas.microsoft.com/office/drawing/2014/chart" uri="{C3380CC4-5D6E-409C-BE32-E72D297353CC}">
              <c16:uniqueId val="{00000004-1D85-4A3C-8BB5-964961D266C6}"/>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'Area VIIa demersal trawl'!$B$162</c:f>
              <c:strCache>
                <c:ptCount val="1"/>
                <c:pt idx="0">
                  <c:v>Haddock</c:v>
                </c:pt>
              </c:strCache>
            </c:strRef>
          </c:tx>
          <c:spPr>
            <a:solidFill>
              <a:srgbClr val="2273B9"/>
            </a:solidFill>
            <a:ln>
              <a:solidFill>
                <a:srgbClr val="FFFFFF"/>
              </a:solidFill>
            </a:ln>
          </c:spPr>
          <c:invertIfNegative val="0"/>
          <c:cat>
            <c:strRef>
              <c:f>'Area VIIa demersal trawl'!$C$161:$E$161</c:f>
              <c:strCache>
                <c:ptCount val="3"/>
                <c:pt idx="0">
                  <c:v>Most
profitable
quartile</c:v>
                </c:pt>
                <c:pt idx="1">
                  <c:v>Middle 
two quartiles</c:v>
                </c:pt>
                <c:pt idx="2">
                  <c:v>Least
profitable
quartile</c:v>
                </c:pt>
              </c:strCache>
            </c:strRef>
          </c:cat>
          <c:val>
            <c:numRef>
              <c:f>'Area VIIa demersal trawl'!$C$162:$E$162</c:f>
              <c:numCache>
                <c:formatCode>0%</c:formatCode>
                <c:ptCount val="3"/>
                <c:pt idx="0">
                  <c:v>0</c:v>
                </c:pt>
                <c:pt idx="1">
                  <c:v>0.57135032414533438</c:v>
                </c:pt>
                <c:pt idx="2">
                  <c:v>0</c:v>
                </c:pt>
              </c:numCache>
            </c:numRef>
          </c:val>
          <c:extLst>
            <c:ext xmlns:c16="http://schemas.microsoft.com/office/drawing/2014/chart" uri="{C3380CC4-5D6E-409C-BE32-E72D297353CC}">
              <c16:uniqueId val="{00000000-68C7-4A3E-BE22-D11156FE982F}"/>
            </c:ext>
          </c:extLst>
        </c:ser>
        <c:ser>
          <c:idx val="1"/>
          <c:order val="1"/>
          <c:tx>
            <c:strRef>
              <c:f>'Area VIIa demersal trawl'!$B$163</c:f>
              <c:strCache>
                <c:ptCount val="1"/>
                <c:pt idx="0">
                  <c:v>Nephrops</c:v>
                </c:pt>
              </c:strCache>
            </c:strRef>
          </c:tx>
          <c:spPr>
            <a:solidFill>
              <a:srgbClr val="E87308"/>
            </a:solidFill>
            <a:ln>
              <a:solidFill>
                <a:srgbClr val="FFFFFF"/>
              </a:solidFill>
            </a:ln>
          </c:spPr>
          <c:invertIfNegative val="0"/>
          <c:cat>
            <c:strRef>
              <c:f>'Area VIIa demersal trawl'!$C$161:$E$161</c:f>
              <c:strCache>
                <c:ptCount val="3"/>
                <c:pt idx="0">
                  <c:v>Most
profitable
quartile</c:v>
                </c:pt>
                <c:pt idx="1">
                  <c:v>Middle 
two quartiles</c:v>
                </c:pt>
                <c:pt idx="2">
                  <c:v>Least
profitable
quartile</c:v>
                </c:pt>
              </c:strCache>
            </c:strRef>
          </c:cat>
          <c:val>
            <c:numRef>
              <c:f>'Area VIIa demersal trawl'!$C$163:$E$163</c:f>
              <c:numCache>
                <c:formatCode>0%</c:formatCode>
                <c:ptCount val="3"/>
                <c:pt idx="0">
                  <c:v>0</c:v>
                </c:pt>
                <c:pt idx="1">
                  <c:v>0.11031126968286634</c:v>
                </c:pt>
                <c:pt idx="2">
                  <c:v>0</c:v>
                </c:pt>
              </c:numCache>
            </c:numRef>
          </c:val>
          <c:extLst>
            <c:ext xmlns:c16="http://schemas.microsoft.com/office/drawing/2014/chart" uri="{C3380CC4-5D6E-409C-BE32-E72D297353CC}">
              <c16:uniqueId val="{00000001-68C7-4A3E-BE22-D11156FE982F}"/>
            </c:ext>
          </c:extLst>
        </c:ser>
        <c:ser>
          <c:idx val="2"/>
          <c:order val="2"/>
          <c:tx>
            <c:strRef>
              <c:f>'Area VIIa demersal trawl'!$B$164</c:f>
              <c:strCache>
                <c:ptCount val="1"/>
                <c:pt idx="0">
                  <c:v>Cod</c:v>
                </c:pt>
              </c:strCache>
            </c:strRef>
          </c:tx>
          <c:spPr>
            <a:solidFill>
              <a:srgbClr val="648C2E"/>
            </a:solidFill>
            <a:ln>
              <a:solidFill>
                <a:srgbClr val="FFFFFF"/>
              </a:solidFill>
            </a:ln>
          </c:spPr>
          <c:invertIfNegative val="0"/>
          <c:cat>
            <c:strRef>
              <c:f>'Area VIIa demersal trawl'!$C$161:$E$161</c:f>
              <c:strCache>
                <c:ptCount val="3"/>
                <c:pt idx="0">
                  <c:v>Most
profitable
quartile</c:v>
                </c:pt>
                <c:pt idx="1">
                  <c:v>Middle 
two quartiles</c:v>
                </c:pt>
                <c:pt idx="2">
                  <c:v>Least
profitable
quartile</c:v>
                </c:pt>
              </c:strCache>
            </c:strRef>
          </c:cat>
          <c:val>
            <c:numRef>
              <c:f>'Area VIIa demersal trawl'!$C$164:$E$164</c:f>
              <c:numCache>
                <c:formatCode>0%</c:formatCode>
                <c:ptCount val="3"/>
                <c:pt idx="0">
                  <c:v>0</c:v>
                </c:pt>
                <c:pt idx="1">
                  <c:v>9.3897161215211203E-2</c:v>
                </c:pt>
                <c:pt idx="2">
                  <c:v>0</c:v>
                </c:pt>
              </c:numCache>
            </c:numRef>
          </c:val>
          <c:extLst>
            <c:ext xmlns:c16="http://schemas.microsoft.com/office/drawing/2014/chart" uri="{C3380CC4-5D6E-409C-BE32-E72D297353CC}">
              <c16:uniqueId val="{00000002-68C7-4A3E-BE22-D11156FE982F}"/>
            </c:ext>
          </c:extLst>
        </c:ser>
        <c:ser>
          <c:idx val="3"/>
          <c:order val="3"/>
          <c:tx>
            <c:strRef>
              <c:f>'Area VIIa demersal trawl'!$B$165</c:f>
              <c:strCache>
                <c:ptCount val="1"/>
                <c:pt idx="0">
                  <c:v>Hake</c:v>
                </c:pt>
              </c:strCache>
            </c:strRef>
          </c:tx>
          <c:spPr>
            <a:solidFill>
              <a:srgbClr val="E84A38"/>
            </a:solidFill>
            <a:ln>
              <a:solidFill>
                <a:srgbClr val="FFFFFF"/>
              </a:solidFill>
            </a:ln>
          </c:spPr>
          <c:invertIfNegative val="0"/>
          <c:cat>
            <c:strRef>
              <c:f>'Area VIIa demersal trawl'!$C$161:$E$161</c:f>
              <c:strCache>
                <c:ptCount val="3"/>
                <c:pt idx="0">
                  <c:v>Most
profitable
quartile</c:v>
                </c:pt>
                <c:pt idx="1">
                  <c:v>Middle 
two quartiles</c:v>
                </c:pt>
                <c:pt idx="2">
                  <c:v>Least
profitable
quartile</c:v>
                </c:pt>
              </c:strCache>
            </c:strRef>
          </c:cat>
          <c:val>
            <c:numRef>
              <c:f>'Area VIIa demersal trawl'!$C$165:$E$165</c:f>
              <c:numCache>
                <c:formatCode>0%</c:formatCode>
                <c:ptCount val="3"/>
                <c:pt idx="0">
                  <c:v>0</c:v>
                </c:pt>
                <c:pt idx="1">
                  <c:v>7.7333577779408066E-2</c:v>
                </c:pt>
                <c:pt idx="2">
                  <c:v>0</c:v>
                </c:pt>
              </c:numCache>
            </c:numRef>
          </c:val>
          <c:extLst>
            <c:ext xmlns:c16="http://schemas.microsoft.com/office/drawing/2014/chart" uri="{C3380CC4-5D6E-409C-BE32-E72D297353CC}">
              <c16:uniqueId val="{00000003-68C7-4A3E-BE22-D11156FE982F}"/>
            </c:ext>
          </c:extLst>
        </c:ser>
        <c:ser>
          <c:idx val="4"/>
          <c:order val="4"/>
          <c:tx>
            <c:strRef>
              <c:f>'Area VIIa demersal trawl'!$B$166</c:f>
              <c:strCache>
                <c:ptCount val="1"/>
                <c:pt idx="0">
                  <c:v>Scallops</c:v>
                </c:pt>
              </c:strCache>
            </c:strRef>
          </c:tx>
          <c:spPr>
            <a:solidFill>
              <a:srgbClr val="C1D119"/>
            </a:solidFill>
            <a:ln>
              <a:solidFill>
                <a:srgbClr val="FFFFFF"/>
              </a:solidFill>
            </a:ln>
          </c:spPr>
          <c:invertIfNegative val="0"/>
          <c:cat>
            <c:strRef>
              <c:f>'Area VIIa demersal trawl'!$C$161:$E$161</c:f>
              <c:strCache>
                <c:ptCount val="3"/>
                <c:pt idx="0">
                  <c:v>Most
profitable
quartile</c:v>
                </c:pt>
                <c:pt idx="1">
                  <c:v>Middle 
two quartiles</c:v>
                </c:pt>
                <c:pt idx="2">
                  <c:v>Least
profitable
quartile</c:v>
                </c:pt>
              </c:strCache>
            </c:strRef>
          </c:cat>
          <c:val>
            <c:numRef>
              <c:f>'Area VIIa demersal trawl'!$C$166:$E$166</c:f>
              <c:numCache>
                <c:formatCode>0%</c:formatCode>
                <c:ptCount val="3"/>
                <c:pt idx="0">
                  <c:v>0</c:v>
                </c:pt>
                <c:pt idx="1">
                  <c:v>4.1511259320939832E-2</c:v>
                </c:pt>
                <c:pt idx="2">
                  <c:v>0</c:v>
                </c:pt>
              </c:numCache>
            </c:numRef>
          </c:val>
          <c:extLst>
            <c:ext xmlns:c16="http://schemas.microsoft.com/office/drawing/2014/chart" uri="{C3380CC4-5D6E-409C-BE32-E72D297353CC}">
              <c16:uniqueId val="{00000004-68C7-4A3E-BE22-D11156FE982F}"/>
            </c:ext>
          </c:extLst>
        </c:ser>
        <c:ser>
          <c:idx val="5"/>
          <c:order val="5"/>
          <c:tx>
            <c:strRef>
              <c:f>'Area VIIa demersal trawl'!$B$167</c:f>
              <c:strCache>
                <c:ptCount val="1"/>
                <c:pt idx="0">
                  <c:v>Queen Scallops</c:v>
                </c:pt>
              </c:strCache>
            </c:strRef>
          </c:tx>
          <c:spPr>
            <a:solidFill>
              <a:srgbClr val="FED825"/>
            </a:solidFill>
            <a:ln>
              <a:solidFill>
                <a:srgbClr val="FFFFFF"/>
              </a:solidFill>
            </a:ln>
          </c:spPr>
          <c:invertIfNegative val="0"/>
          <c:cat>
            <c:strRef>
              <c:f>'Area VIIa demersal trawl'!$C$161:$E$161</c:f>
              <c:strCache>
                <c:ptCount val="3"/>
                <c:pt idx="0">
                  <c:v>Most
profitable
quartile</c:v>
                </c:pt>
                <c:pt idx="1">
                  <c:v>Middle 
two quartiles</c:v>
                </c:pt>
                <c:pt idx="2">
                  <c:v>Least
profitable
quartile</c:v>
                </c:pt>
              </c:strCache>
            </c:strRef>
          </c:cat>
          <c:val>
            <c:numRef>
              <c:f>'Area VIIa demersal trawl'!$C$167:$E$167</c:f>
              <c:numCache>
                <c:formatCode>0%</c:formatCode>
                <c:ptCount val="3"/>
                <c:pt idx="0">
                  <c:v>0</c:v>
                </c:pt>
                <c:pt idx="1">
                  <c:v>0</c:v>
                </c:pt>
                <c:pt idx="2">
                  <c:v>0</c:v>
                </c:pt>
              </c:numCache>
            </c:numRef>
          </c:val>
          <c:extLst>
            <c:ext xmlns:c16="http://schemas.microsoft.com/office/drawing/2014/chart" uri="{C3380CC4-5D6E-409C-BE32-E72D297353CC}">
              <c16:uniqueId val="{00000005-68C7-4A3E-BE22-D11156FE982F}"/>
            </c:ext>
          </c:extLst>
        </c:ser>
        <c:ser>
          <c:idx val="6"/>
          <c:order val="6"/>
          <c:tx>
            <c:strRef>
              <c:f>'Area VIIa demersal trawl'!$B$168</c:f>
              <c:strCache>
                <c:ptCount val="1"/>
                <c:pt idx="0">
                  <c:v>Plaice</c:v>
                </c:pt>
              </c:strCache>
            </c:strRef>
          </c:tx>
          <c:spPr>
            <a:solidFill>
              <a:srgbClr val="707271"/>
            </a:solidFill>
            <a:ln>
              <a:solidFill>
                <a:srgbClr val="FFFFFF"/>
              </a:solidFill>
            </a:ln>
          </c:spPr>
          <c:invertIfNegative val="0"/>
          <c:cat>
            <c:strRef>
              <c:f>'Area VIIa demersal trawl'!$C$161:$E$161</c:f>
              <c:strCache>
                <c:ptCount val="3"/>
                <c:pt idx="0">
                  <c:v>Most
profitable
quartile</c:v>
                </c:pt>
                <c:pt idx="1">
                  <c:v>Middle 
two quartiles</c:v>
                </c:pt>
                <c:pt idx="2">
                  <c:v>Least
profitable
quartile</c:v>
                </c:pt>
              </c:strCache>
            </c:strRef>
          </c:cat>
          <c:val>
            <c:numRef>
              <c:f>'Area VIIa demersal trawl'!$C$168:$E$168</c:f>
              <c:numCache>
                <c:formatCode>0%</c:formatCode>
                <c:ptCount val="3"/>
                <c:pt idx="0">
                  <c:v>0</c:v>
                </c:pt>
                <c:pt idx="1">
                  <c:v>0</c:v>
                </c:pt>
                <c:pt idx="2">
                  <c:v>0</c:v>
                </c:pt>
              </c:numCache>
            </c:numRef>
          </c:val>
          <c:extLst>
            <c:ext xmlns:c16="http://schemas.microsoft.com/office/drawing/2014/chart" uri="{C3380CC4-5D6E-409C-BE32-E72D297353CC}">
              <c16:uniqueId val="{00000006-68C7-4A3E-BE22-D11156FE982F}"/>
            </c:ext>
          </c:extLst>
        </c:ser>
        <c:ser>
          <c:idx val="7"/>
          <c:order val="7"/>
          <c:tx>
            <c:strRef>
              <c:f>'Area VIIa demersal trawl'!$B$169</c:f>
              <c:strCache>
                <c:ptCount val="1"/>
                <c:pt idx="0">
                  <c:v>Les. Spot. Dog</c:v>
                </c:pt>
              </c:strCache>
            </c:strRef>
          </c:tx>
          <c:spPr>
            <a:solidFill>
              <a:srgbClr val="51AA81"/>
            </a:solidFill>
            <a:ln>
              <a:solidFill>
                <a:srgbClr val="FFFFFF"/>
              </a:solidFill>
            </a:ln>
          </c:spPr>
          <c:invertIfNegative val="0"/>
          <c:cat>
            <c:strRef>
              <c:f>'Area VIIa demersal trawl'!$C$161:$E$161</c:f>
              <c:strCache>
                <c:ptCount val="3"/>
                <c:pt idx="0">
                  <c:v>Most
profitable
quartile</c:v>
                </c:pt>
                <c:pt idx="1">
                  <c:v>Middle 
two quartiles</c:v>
                </c:pt>
                <c:pt idx="2">
                  <c:v>Least
profitable
quartile</c:v>
                </c:pt>
              </c:strCache>
            </c:strRef>
          </c:cat>
          <c:val>
            <c:numRef>
              <c:f>'Area VIIa demersal trawl'!$C$169:$E$169</c:f>
              <c:numCache>
                <c:formatCode>0%</c:formatCode>
                <c:ptCount val="3"/>
                <c:pt idx="0">
                  <c:v>0</c:v>
                </c:pt>
                <c:pt idx="1">
                  <c:v>0</c:v>
                </c:pt>
                <c:pt idx="2">
                  <c:v>0</c:v>
                </c:pt>
              </c:numCache>
            </c:numRef>
          </c:val>
          <c:extLst>
            <c:ext xmlns:c16="http://schemas.microsoft.com/office/drawing/2014/chart" uri="{C3380CC4-5D6E-409C-BE32-E72D297353CC}">
              <c16:uniqueId val="{00000007-68C7-4A3E-BE22-D11156FE982F}"/>
            </c:ext>
          </c:extLst>
        </c:ser>
        <c:ser>
          <c:idx val="8"/>
          <c:order val="8"/>
          <c:tx>
            <c:strRef>
              <c:f>'Area VIIa demersal trawl'!$B$170</c:f>
              <c:strCache>
                <c:ptCount val="1"/>
                <c:pt idx="0">
                  <c:v>Brown Crab</c:v>
                </c:pt>
              </c:strCache>
            </c:strRef>
          </c:tx>
          <c:spPr>
            <a:solidFill>
              <a:srgbClr val="0F9AA9"/>
            </a:solidFill>
            <a:ln>
              <a:solidFill>
                <a:srgbClr val="FFFFFF"/>
              </a:solidFill>
            </a:ln>
          </c:spPr>
          <c:invertIfNegative val="0"/>
          <c:cat>
            <c:strRef>
              <c:f>'Area VIIa demersal trawl'!$C$161:$E$161</c:f>
              <c:strCache>
                <c:ptCount val="3"/>
                <c:pt idx="0">
                  <c:v>Most
profitable
quartile</c:v>
                </c:pt>
                <c:pt idx="1">
                  <c:v>Middle 
two quartiles</c:v>
                </c:pt>
                <c:pt idx="2">
                  <c:v>Least
profitable
quartile</c:v>
                </c:pt>
              </c:strCache>
            </c:strRef>
          </c:cat>
          <c:val>
            <c:numRef>
              <c:f>'Area VIIa demersal trawl'!$C$170:$E$170</c:f>
              <c:numCache>
                <c:formatCode>0%</c:formatCode>
                <c:ptCount val="3"/>
                <c:pt idx="0">
                  <c:v>0</c:v>
                </c:pt>
                <c:pt idx="1">
                  <c:v>0</c:v>
                </c:pt>
                <c:pt idx="2">
                  <c:v>0</c:v>
                </c:pt>
              </c:numCache>
            </c:numRef>
          </c:val>
          <c:extLst>
            <c:ext xmlns:c16="http://schemas.microsoft.com/office/drawing/2014/chart" uri="{C3380CC4-5D6E-409C-BE32-E72D297353CC}">
              <c16:uniqueId val="{00000008-68C7-4A3E-BE22-D11156FE982F}"/>
            </c:ext>
          </c:extLst>
        </c:ser>
        <c:ser>
          <c:idx val="9"/>
          <c:order val="9"/>
          <c:tx>
            <c:strRef>
              <c:f>'Area VIIa demersal trawl'!$B$171</c:f>
              <c:strCache>
                <c:ptCount val="1"/>
                <c:pt idx="0">
                  <c:v>Others</c:v>
                </c:pt>
              </c:strCache>
            </c:strRef>
          </c:tx>
          <c:spPr>
            <a:solidFill>
              <a:srgbClr val="55585A"/>
            </a:solidFill>
            <a:ln>
              <a:solidFill>
                <a:srgbClr val="FFFFFF"/>
              </a:solidFill>
            </a:ln>
          </c:spPr>
          <c:invertIfNegative val="0"/>
          <c:cat>
            <c:strRef>
              <c:f>'Area VIIa demersal trawl'!$C$161:$E$161</c:f>
              <c:strCache>
                <c:ptCount val="3"/>
                <c:pt idx="0">
                  <c:v>Most
profitable
quartile</c:v>
                </c:pt>
                <c:pt idx="1">
                  <c:v>Middle 
two quartiles</c:v>
                </c:pt>
                <c:pt idx="2">
                  <c:v>Least
profitable
quartile</c:v>
                </c:pt>
              </c:strCache>
            </c:strRef>
          </c:cat>
          <c:val>
            <c:numRef>
              <c:f>'Area VIIa demersal trawl'!$C$171:$E$171</c:f>
              <c:numCache>
                <c:formatCode>0%</c:formatCode>
                <c:ptCount val="3"/>
                <c:pt idx="0">
                  <c:v>0</c:v>
                </c:pt>
                <c:pt idx="1">
                  <c:v>0.10559640785624025</c:v>
                </c:pt>
                <c:pt idx="2">
                  <c:v>0</c:v>
                </c:pt>
              </c:numCache>
            </c:numRef>
          </c:val>
          <c:extLst>
            <c:ext xmlns:c16="http://schemas.microsoft.com/office/drawing/2014/chart" uri="{C3380CC4-5D6E-409C-BE32-E72D297353CC}">
              <c16:uniqueId val="{00000009-68C7-4A3E-BE22-D11156FE982F}"/>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10m'!$K$48</c:f>
          <c:strCache>
            <c:ptCount val="1"/>
            <c:pt idx="0">
              <c:v>Operating profit per kW day at sea (£)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F1D2-4CE8-88FF-466D96574BFB}"/>
              </c:ext>
            </c:extLst>
          </c:dPt>
          <c:dPt>
            <c:idx val="10"/>
            <c:bubble3D val="0"/>
            <c:spPr>
              <a:ln w="57150">
                <a:solidFill>
                  <a:schemeClr val="accent3"/>
                </a:solidFill>
                <a:prstDash val="sysDot"/>
              </a:ln>
            </c:spPr>
            <c:extLst>
              <c:ext xmlns:c16="http://schemas.microsoft.com/office/drawing/2014/chart" uri="{C3380CC4-5D6E-409C-BE32-E72D297353CC}">
                <c16:uniqueId val="{00000003-F1D2-4CE8-88FF-466D96574BFB}"/>
              </c:ext>
            </c:extLst>
          </c:dPt>
          <c:cat>
            <c:numRef>
              <c:f>'Low activity over 10m'!$D$2:$N$2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'Low activity over 10m'!$D$24:$N$24</c:f>
              <c:numCache>
                <c:formatCode>#,##0.00</c:formatCode>
                <c:ptCount val="11"/>
                <c:pt idx="0">
                  <c:v>-0.70394794081937095</c:v>
                </c:pt>
                <c:pt idx="1">
                  <c:v>-0.64975697424588996</c:v>
                </c:pt>
                <c:pt idx="2">
                  <c:v>-1.07019837838946</c:v>
                </c:pt>
                <c:pt idx="3">
                  <c:v>-1.66525555378445</c:v>
                </c:pt>
                <c:pt idx="4">
                  <c:v>-1.71435884979383</c:v>
                </c:pt>
                <c:pt idx="5">
                  <c:v>-1.93798379900324</c:v>
                </c:pt>
                <c:pt idx="6">
                  <c:v>-0.73510674977742796</c:v>
                </c:pt>
                <c:pt idx="7">
                  <c:v>-1.9517902949368899</c:v>
                </c:pt>
                <c:pt idx="8">
                  <c:v>-2.0893929341516002</c:v>
                </c:pt>
                <c:pt idx="9">
                  <c:v>-1.3964116333404499</c:v>
                </c:pt>
                <c:pt idx="10">
                  <c:v>-2.109624176322817</c:v>
                </c:pt>
              </c:numCache>
            </c:numRef>
          </c:val>
          <c:smooth val="0"/>
          <c:extLst>
            <c:ext xmlns:c16="http://schemas.microsoft.com/office/drawing/2014/chart" uri="{C3380CC4-5D6E-409C-BE32-E72D297353CC}">
              <c16:uniqueId val="{00000004-F1D2-4CE8-88FF-466D96574BFB}"/>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10m'!$A$50</c:f>
          <c:strCache>
            <c:ptCount val="1"/>
            <c:pt idx="0">
              <c:v>Average price per tonne landed (£)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6E9E-4F97-8423-3710E85DAB53}"/>
              </c:ext>
            </c:extLst>
          </c:dPt>
          <c:dPt>
            <c:idx val="10"/>
            <c:bubble3D val="0"/>
            <c:spPr>
              <a:ln w="57150">
                <a:solidFill>
                  <a:schemeClr val="accent4"/>
                </a:solidFill>
                <a:prstDash val="sysDot"/>
              </a:ln>
            </c:spPr>
            <c:extLst>
              <c:ext xmlns:c16="http://schemas.microsoft.com/office/drawing/2014/chart" uri="{C3380CC4-5D6E-409C-BE32-E72D297353CC}">
                <c16:uniqueId val="{00000003-6E9E-4F97-8423-3710E85DAB53}"/>
              </c:ext>
            </c:extLst>
          </c:dPt>
          <c:cat>
            <c:numRef>
              <c:f>'Low activity over 10m'!$D$2:$M$2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'Low activity over 10m'!$D$20:$N$20</c:f>
              <c:numCache>
                <c:formatCode>#,##0</c:formatCode>
                <c:ptCount val="11"/>
                <c:pt idx="0">
                  <c:v>120</c:v>
                </c:pt>
                <c:pt idx="1">
                  <c:v>2155</c:v>
                </c:pt>
                <c:pt idx="2">
                  <c:v>1450</c:v>
                </c:pt>
                <c:pt idx="3">
                  <c:v>2058</c:v>
                </c:pt>
                <c:pt idx="4">
                  <c:v>151</c:v>
                </c:pt>
                <c:pt idx="5">
                  <c:v>2571</c:v>
                </c:pt>
                <c:pt idx="6">
                  <c:v>183</c:v>
                </c:pt>
                <c:pt idx="7">
                  <c:v>1806</c:v>
                </c:pt>
                <c:pt idx="8">
                  <c:v>2451</c:v>
                </c:pt>
                <c:pt idx="9">
                  <c:v>2442</c:v>
                </c:pt>
                <c:pt idx="10">
                  <c:v>2361</c:v>
                </c:pt>
              </c:numCache>
            </c:numRef>
          </c:val>
          <c:smooth val="0"/>
          <c:extLst>
            <c:ext xmlns:c16="http://schemas.microsoft.com/office/drawing/2014/chart" uri="{C3380CC4-5D6E-409C-BE32-E72D297353CC}">
              <c16:uniqueId val="{00000004-6E9E-4F97-8423-3710E85DAB53}"/>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10m'!$K$62</c:f>
          <c:strCache>
            <c:ptCount val="1"/>
            <c:pt idx="0">
              <c:v>Average annual operating profit per vessel (£'000)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D0B2-4DAD-B4CF-7902548429D5}"/>
              </c:ext>
            </c:extLst>
          </c:dPt>
          <c:dPt>
            <c:idx val="10"/>
            <c:bubble3D val="0"/>
            <c:spPr>
              <a:ln w="57150">
                <a:solidFill>
                  <a:schemeClr val="accent5"/>
                </a:solidFill>
                <a:prstDash val="sysDot"/>
              </a:ln>
            </c:spPr>
            <c:extLst>
              <c:ext xmlns:c16="http://schemas.microsoft.com/office/drawing/2014/chart" uri="{C3380CC4-5D6E-409C-BE32-E72D297353CC}">
                <c16:uniqueId val="{00000003-D0B2-4DAD-B4CF-7902548429D5}"/>
              </c:ext>
            </c:extLst>
          </c:dPt>
          <c:cat>
            <c:numRef>
              <c:f>'Low activity over 10m'!$D$2:$M$2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'Low activity over 10m'!$D$37:$N$37</c:f>
              <c:numCache>
                <c:formatCode>#,##0.0</c:formatCode>
                <c:ptCount val="11"/>
                <c:pt idx="0">
                  <c:v>-1.5</c:v>
                </c:pt>
                <c:pt idx="1">
                  <c:v>-1.4</c:v>
                </c:pt>
                <c:pt idx="2">
                  <c:v>-2.4</c:v>
                </c:pt>
                <c:pt idx="3">
                  <c:v>-4.2</c:v>
                </c:pt>
                <c:pt idx="4">
                  <c:v>-7.3</c:v>
                </c:pt>
                <c:pt idx="5">
                  <c:v>-4.3</c:v>
                </c:pt>
                <c:pt idx="6">
                  <c:v>-2</c:v>
                </c:pt>
                <c:pt idx="7">
                  <c:v>-4.0999999999999996</c:v>
                </c:pt>
                <c:pt idx="8">
                  <c:v>-4.5999999999999996</c:v>
                </c:pt>
                <c:pt idx="9">
                  <c:v>-2.5</c:v>
                </c:pt>
                <c:pt idx="10">
                  <c:v>-6.3</c:v>
                </c:pt>
              </c:numCache>
            </c:numRef>
          </c:val>
          <c:smooth val="0"/>
          <c:extLst>
            <c:ext xmlns:c16="http://schemas.microsoft.com/office/drawing/2014/chart" uri="{C3380CC4-5D6E-409C-BE32-E72D297353CC}">
              <c16:uniqueId val="{00000004-D0B2-4DAD-B4CF-7902548429D5}"/>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over 10m'!$A$76</c:f>
          <c:strCache>
            <c:ptCount val="1"/>
            <c:pt idx="0">
              <c:v>Top 5 landed species by volume in 2019
Low activity over 10m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E680-4AB7-80C3-BCB2582A1C12}"/>
              </c:ext>
            </c:extLst>
          </c:dPt>
          <c:dPt>
            <c:idx val="1"/>
            <c:bubble3D val="0"/>
            <c:spPr>
              <a:solidFill>
                <a:srgbClr val="0F9AA9"/>
              </a:solidFill>
              <a:ln>
                <a:solidFill>
                  <a:srgbClr val="FFFFFF"/>
                </a:solidFill>
              </a:ln>
            </c:spPr>
            <c:extLst>
              <c:ext xmlns:c16="http://schemas.microsoft.com/office/drawing/2014/chart" uri="{C3380CC4-5D6E-409C-BE32-E72D297353CC}">
                <c16:uniqueId val="{00000003-E680-4AB7-80C3-BCB2582A1C12}"/>
              </c:ext>
            </c:extLst>
          </c:dPt>
          <c:dPt>
            <c:idx val="2"/>
            <c:bubble3D val="0"/>
            <c:spPr>
              <a:solidFill>
                <a:srgbClr val="E87308"/>
              </a:solidFill>
              <a:ln>
                <a:solidFill>
                  <a:srgbClr val="FFFFFF"/>
                </a:solidFill>
              </a:ln>
            </c:spPr>
            <c:extLst>
              <c:ext xmlns:c16="http://schemas.microsoft.com/office/drawing/2014/chart" uri="{C3380CC4-5D6E-409C-BE32-E72D297353CC}">
                <c16:uniqueId val="{00000005-E680-4AB7-80C3-BCB2582A1C12}"/>
              </c:ext>
            </c:extLst>
          </c:dPt>
          <c:dPt>
            <c:idx val="3"/>
            <c:bubble3D val="0"/>
            <c:spPr>
              <a:solidFill>
                <a:srgbClr val="E84A38"/>
              </a:solidFill>
              <a:ln>
                <a:solidFill>
                  <a:srgbClr val="FFFFFF"/>
                </a:solidFill>
              </a:ln>
            </c:spPr>
            <c:extLst>
              <c:ext xmlns:c16="http://schemas.microsoft.com/office/drawing/2014/chart" uri="{C3380CC4-5D6E-409C-BE32-E72D297353CC}">
                <c16:uniqueId val="{00000007-E680-4AB7-80C3-BCB2582A1C12}"/>
              </c:ext>
            </c:extLst>
          </c:dPt>
          <c:dPt>
            <c:idx val="4"/>
            <c:bubble3D val="0"/>
            <c:spPr>
              <a:solidFill>
                <a:srgbClr val="C1D119"/>
              </a:solidFill>
              <a:ln>
                <a:solidFill>
                  <a:srgbClr val="FFFFFF"/>
                </a:solidFill>
              </a:ln>
            </c:spPr>
            <c:extLst>
              <c:ext xmlns:c16="http://schemas.microsoft.com/office/drawing/2014/chart" uri="{C3380CC4-5D6E-409C-BE32-E72D297353CC}">
                <c16:uniqueId val="{00000009-E680-4AB7-80C3-BCB2582A1C12}"/>
              </c:ext>
            </c:extLst>
          </c:dPt>
          <c:dPt>
            <c:idx val="5"/>
            <c:bubble3D val="0"/>
            <c:spPr>
              <a:solidFill>
                <a:srgbClr val="55585A"/>
              </a:solidFill>
              <a:ln>
                <a:solidFill>
                  <a:srgbClr val="FFFFFF"/>
                </a:solidFill>
              </a:ln>
            </c:spPr>
            <c:extLst>
              <c:ext xmlns:c16="http://schemas.microsoft.com/office/drawing/2014/chart" uri="{C3380CC4-5D6E-409C-BE32-E72D297353CC}">
                <c16:uniqueId val="{0000000B-E680-4AB7-80C3-BCB2582A1C12}"/>
              </c:ext>
            </c:extLst>
          </c:dPt>
          <c:cat>
            <c:strRef>
              <c:f>'Low activity over 10m'!$B$77:$B$82</c:f>
              <c:strCache>
                <c:ptCount val="6"/>
                <c:pt idx="0">
                  <c:v>Brown Shrimps - 44.6%</c:v>
                </c:pt>
                <c:pt idx="1">
                  <c:v>Whelks - 11.1%</c:v>
                </c:pt>
                <c:pt idx="2">
                  <c:v>Nephrops - 9.9%</c:v>
                </c:pt>
                <c:pt idx="3">
                  <c:v>Scallops - 9.1%</c:v>
                </c:pt>
                <c:pt idx="4">
                  <c:v>Brown Crab - 8.1%</c:v>
                </c:pt>
                <c:pt idx="5">
                  <c:v>Others - 17.2%</c:v>
                </c:pt>
              </c:strCache>
            </c:strRef>
          </c:cat>
          <c:val>
            <c:numRef>
              <c:f>'Low activity over 10m'!$C$77:$C$82</c:f>
              <c:numCache>
                <c:formatCode>0.0%</c:formatCode>
                <c:ptCount val="6"/>
                <c:pt idx="0">
                  <c:v>0.44617834435834924</c:v>
                </c:pt>
                <c:pt idx="1">
                  <c:v>0.11065146387081885</c:v>
                </c:pt>
                <c:pt idx="2">
                  <c:v>9.9169993388478914E-2</c:v>
                </c:pt>
                <c:pt idx="3">
                  <c:v>9.0966192287121786E-2</c:v>
                </c:pt>
                <c:pt idx="4">
                  <c:v>8.1459261940533767E-2</c:v>
                </c:pt>
                <c:pt idx="5">
                  <c:v>0.17157474415469753</c:v>
                </c:pt>
              </c:numCache>
            </c:numRef>
          </c:val>
          <c:extLst>
            <c:ext xmlns:c16="http://schemas.microsoft.com/office/drawing/2014/chart" uri="{C3380CC4-5D6E-409C-BE32-E72D297353CC}">
              <c16:uniqueId val="{0000000C-E680-4AB7-80C3-BCB2582A1C1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over 10m'!$F$76</c:f>
          <c:strCache>
            <c:ptCount val="1"/>
            <c:pt idx="0">
              <c:v>Top 5 landed species by value in 2019
Low activity over 10m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CD42-4EF8-8481-8567B01F9F58}"/>
              </c:ext>
            </c:extLst>
          </c:dPt>
          <c:dPt>
            <c:idx val="1"/>
            <c:bubble3D val="0"/>
            <c:spPr>
              <a:solidFill>
                <a:srgbClr val="E87308"/>
              </a:solidFill>
              <a:ln>
                <a:solidFill>
                  <a:srgbClr val="FFFFFF"/>
                </a:solidFill>
              </a:ln>
            </c:spPr>
            <c:extLst>
              <c:ext xmlns:c16="http://schemas.microsoft.com/office/drawing/2014/chart" uri="{C3380CC4-5D6E-409C-BE32-E72D297353CC}">
                <c16:uniqueId val="{00000003-CD42-4EF8-8481-8567B01F9F58}"/>
              </c:ext>
            </c:extLst>
          </c:dPt>
          <c:dPt>
            <c:idx val="2"/>
            <c:bubble3D val="0"/>
            <c:spPr>
              <a:solidFill>
                <a:srgbClr val="648C2E"/>
              </a:solidFill>
              <a:ln>
                <a:solidFill>
                  <a:srgbClr val="FFFFFF"/>
                </a:solidFill>
              </a:ln>
            </c:spPr>
            <c:extLst>
              <c:ext xmlns:c16="http://schemas.microsoft.com/office/drawing/2014/chart" uri="{C3380CC4-5D6E-409C-BE32-E72D297353CC}">
                <c16:uniqueId val="{00000005-CD42-4EF8-8481-8567B01F9F58}"/>
              </c:ext>
            </c:extLst>
          </c:dPt>
          <c:dPt>
            <c:idx val="3"/>
            <c:bubble3D val="0"/>
            <c:spPr>
              <a:solidFill>
                <a:srgbClr val="C1D119"/>
              </a:solidFill>
              <a:ln>
                <a:solidFill>
                  <a:srgbClr val="FFFFFF"/>
                </a:solidFill>
              </a:ln>
            </c:spPr>
            <c:extLst>
              <c:ext xmlns:c16="http://schemas.microsoft.com/office/drawing/2014/chart" uri="{C3380CC4-5D6E-409C-BE32-E72D297353CC}">
                <c16:uniqueId val="{00000007-CD42-4EF8-8481-8567B01F9F58}"/>
              </c:ext>
            </c:extLst>
          </c:dPt>
          <c:dPt>
            <c:idx val="4"/>
            <c:bubble3D val="0"/>
            <c:spPr>
              <a:solidFill>
                <a:srgbClr val="E84A38"/>
              </a:solidFill>
              <a:ln>
                <a:solidFill>
                  <a:srgbClr val="FFFFFF"/>
                </a:solidFill>
              </a:ln>
            </c:spPr>
            <c:extLst>
              <c:ext xmlns:c16="http://schemas.microsoft.com/office/drawing/2014/chart" uri="{C3380CC4-5D6E-409C-BE32-E72D297353CC}">
                <c16:uniqueId val="{00000009-CD42-4EF8-8481-8567B01F9F58}"/>
              </c:ext>
            </c:extLst>
          </c:dPt>
          <c:dPt>
            <c:idx val="5"/>
            <c:bubble3D val="0"/>
            <c:spPr>
              <a:solidFill>
                <a:srgbClr val="55585A"/>
              </a:solidFill>
              <a:ln>
                <a:solidFill>
                  <a:srgbClr val="FFFFFF"/>
                </a:solidFill>
              </a:ln>
            </c:spPr>
            <c:extLst>
              <c:ext xmlns:c16="http://schemas.microsoft.com/office/drawing/2014/chart" uri="{C3380CC4-5D6E-409C-BE32-E72D297353CC}">
                <c16:uniqueId val="{0000000B-CD42-4EF8-8481-8567B01F9F58}"/>
              </c:ext>
            </c:extLst>
          </c:dPt>
          <c:cat>
            <c:strRef>
              <c:f>'Low activity over 10m'!$G$77:$G$82</c:f>
              <c:strCache>
                <c:ptCount val="6"/>
                <c:pt idx="0">
                  <c:v>Brown Shrimps - 29.1%</c:v>
                </c:pt>
                <c:pt idx="1">
                  <c:v>Nephrops - 14.0%</c:v>
                </c:pt>
                <c:pt idx="2">
                  <c:v>Lobsters - 13.8%</c:v>
                </c:pt>
                <c:pt idx="3">
                  <c:v>Brown Crab - 9.5%</c:v>
                </c:pt>
                <c:pt idx="4">
                  <c:v>Scallops - 9.0%</c:v>
                </c:pt>
                <c:pt idx="5">
                  <c:v>Others - 24.5%</c:v>
                </c:pt>
              </c:strCache>
            </c:strRef>
          </c:cat>
          <c:val>
            <c:numRef>
              <c:f>'Low activity over 10m'!$H$77:$H$82</c:f>
              <c:numCache>
                <c:formatCode>0.0%</c:formatCode>
                <c:ptCount val="6"/>
                <c:pt idx="0">
                  <c:v>0.29065801858152235</c:v>
                </c:pt>
                <c:pt idx="1">
                  <c:v>0.1404761746507493</c:v>
                </c:pt>
                <c:pt idx="2">
                  <c:v>0.13849631875577967</c:v>
                </c:pt>
                <c:pt idx="3">
                  <c:v>9.4961233513875795E-2</c:v>
                </c:pt>
                <c:pt idx="4">
                  <c:v>9.0399028246455182E-2</c:v>
                </c:pt>
                <c:pt idx="5">
                  <c:v>0.2450092262516177</c:v>
                </c:pt>
              </c:numCache>
            </c:numRef>
          </c:val>
          <c:extLst>
            <c:ext xmlns:c16="http://schemas.microsoft.com/office/drawing/2014/chart" uri="{C3380CC4-5D6E-409C-BE32-E72D297353CC}">
              <c16:uniqueId val="{0000000C-CD42-4EF8-8481-8567B01F9F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over 10m'!$K$77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'Low activity over 10m'!$C$92</c:f>
              <c:strCache>
                <c:ptCount val="1"/>
                <c:pt idx="0">
                  <c:v>Brown Shrimps</c:v>
                </c:pt>
              </c:strCache>
            </c:strRef>
          </c:tx>
          <c:spPr>
            <a:solidFill>
              <a:srgbClr val="2273B9"/>
            </a:solidFill>
            <a:ln>
              <a:solidFill>
                <a:srgbClr val="FFFFFF"/>
              </a:solidFill>
            </a:ln>
          </c:spPr>
          <c:invertIfNegative val="0"/>
          <c:cat>
            <c:numRef>
              <c:f>'Low activity over 10m'!$D$91:$M$91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'Low activity over 10m'!$D$92:$M$92</c:f>
              <c:numCache>
                <c:formatCode>0%</c:formatCode>
                <c:ptCount val="10"/>
                <c:pt idx="2">
                  <c:v>6.5130747948062437E-2</c:v>
                </c:pt>
                <c:pt idx="5">
                  <c:v>0.17925240405484213</c:v>
                </c:pt>
                <c:pt idx="6">
                  <c:v>7.4399846809975176E-2</c:v>
                </c:pt>
                <c:pt idx="7">
                  <c:v>6.0882421323311765E-2</c:v>
                </c:pt>
                <c:pt idx="8">
                  <c:v>0.29065801858152235</c:v>
                </c:pt>
                <c:pt idx="9">
                  <c:v>6.5215065205787917E-2</c:v>
                </c:pt>
              </c:numCache>
            </c:numRef>
          </c:val>
          <c:extLst>
            <c:ext xmlns:c16="http://schemas.microsoft.com/office/drawing/2014/chart" uri="{C3380CC4-5D6E-409C-BE32-E72D297353CC}">
              <c16:uniqueId val="{00000000-3738-4007-A0A2-B36F5D44D422}"/>
            </c:ext>
          </c:extLst>
        </c:ser>
        <c:ser>
          <c:idx val="1"/>
          <c:order val="1"/>
          <c:tx>
            <c:strRef>
              <c:f>'Low activity over 10m'!$C$93</c:f>
              <c:strCache>
                <c:ptCount val="1"/>
                <c:pt idx="0">
                  <c:v>Nephrops</c:v>
                </c:pt>
              </c:strCache>
            </c:strRef>
          </c:tx>
          <c:spPr>
            <a:solidFill>
              <a:srgbClr val="E87308"/>
            </a:solidFill>
            <a:ln>
              <a:solidFill>
                <a:srgbClr val="FFFFFF"/>
              </a:solidFill>
            </a:ln>
          </c:spPr>
          <c:invertIfNegative val="0"/>
          <c:cat>
            <c:numRef>
              <c:f>'Low activity over 10m'!$D$91:$M$91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'Low activity over 10m'!$D$93:$M$93</c:f>
              <c:numCache>
                <c:formatCode>0%</c:formatCode>
                <c:ptCount val="10"/>
                <c:pt idx="0">
                  <c:v>0.17154307571100938</c:v>
                </c:pt>
                <c:pt idx="1">
                  <c:v>0.20343692988615078</c:v>
                </c:pt>
                <c:pt idx="2">
                  <c:v>0.18243408290724794</c:v>
                </c:pt>
                <c:pt idx="3">
                  <c:v>0.18791105648816606</c:v>
                </c:pt>
                <c:pt idx="4">
                  <c:v>0.1479101253587721</c:v>
                </c:pt>
                <c:pt idx="5">
                  <c:v>0.16784455977060977</c:v>
                </c:pt>
                <c:pt idx="6">
                  <c:v>0.24230947489617319</c:v>
                </c:pt>
                <c:pt idx="7">
                  <c:v>0.14578068724894411</c:v>
                </c:pt>
                <c:pt idx="8">
                  <c:v>0.1404761746507493</c:v>
                </c:pt>
                <c:pt idx="9">
                  <c:v>0.25075952777782262</c:v>
                </c:pt>
              </c:numCache>
            </c:numRef>
          </c:val>
          <c:extLst>
            <c:ext xmlns:c16="http://schemas.microsoft.com/office/drawing/2014/chart" uri="{C3380CC4-5D6E-409C-BE32-E72D297353CC}">
              <c16:uniqueId val="{00000001-3738-4007-A0A2-B36F5D44D422}"/>
            </c:ext>
          </c:extLst>
        </c:ser>
        <c:ser>
          <c:idx val="2"/>
          <c:order val="2"/>
          <c:tx>
            <c:strRef>
              <c:f>'Low activity over 10m'!$C$94</c:f>
              <c:strCache>
                <c:ptCount val="1"/>
                <c:pt idx="0">
                  <c:v>Lobsters</c:v>
                </c:pt>
              </c:strCache>
            </c:strRef>
          </c:tx>
          <c:spPr>
            <a:solidFill>
              <a:srgbClr val="648C2E"/>
            </a:solidFill>
            <a:ln>
              <a:solidFill>
                <a:srgbClr val="FFFFFF"/>
              </a:solidFill>
            </a:ln>
          </c:spPr>
          <c:invertIfNegative val="0"/>
          <c:cat>
            <c:numRef>
              <c:f>'Low activity over 10m'!$D$91:$M$91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'Low activity over 10m'!$D$94:$M$94</c:f>
              <c:numCache>
                <c:formatCode>0%</c:formatCode>
                <c:ptCount val="10"/>
                <c:pt idx="0">
                  <c:v>0.1219544723963388</c:v>
                </c:pt>
                <c:pt idx="1">
                  <c:v>8.1012022386694138E-2</c:v>
                </c:pt>
                <c:pt idx="2">
                  <c:v>0.13093354749730893</c:v>
                </c:pt>
                <c:pt idx="3">
                  <c:v>0.11935368911297346</c:v>
                </c:pt>
                <c:pt idx="4">
                  <c:v>0.17189958457712481</c:v>
                </c:pt>
                <c:pt idx="5">
                  <c:v>0.18137363667063561</c:v>
                </c:pt>
                <c:pt idx="6">
                  <c:v>0.17494064662689227</c:v>
                </c:pt>
                <c:pt idx="7">
                  <c:v>0.14687566986411357</c:v>
                </c:pt>
                <c:pt idx="8">
                  <c:v>0.13849631875577967</c:v>
                </c:pt>
                <c:pt idx="9">
                  <c:v>0.12352844014049852</c:v>
                </c:pt>
              </c:numCache>
            </c:numRef>
          </c:val>
          <c:extLst>
            <c:ext xmlns:c16="http://schemas.microsoft.com/office/drawing/2014/chart" uri="{C3380CC4-5D6E-409C-BE32-E72D297353CC}">
              <c16:uniqueId val="{00000002-3738-4007-A0A2-B36F5D44D422}"/>
            </c:ext>
          </c:extLst>
        </c:ser>
        <c:ser>
          <c:idx val="3"/>
          <c:order val="3"/>
          <c:tx>
            <c:strRef>
              <c:f>'Low activity over 10m'!$C$95</c:f>
              <c:strCache>
                <c:ptCount val="1"/>
                <c:pt idx="0">
                  <c:v>Brown Crab</c:v>
                </c:pt>
              </c:strCache>
            </c:strRef>
          </c:tx>
          <c:spPr>
            <a:solidFill>
              <a:srgbClr val="C1D119"/>
            </a:solidFill>
            <a:ln>
              <a:solidFill>
                <a:srgbClr val="FFFFFF"/>
              </a:solidFill>
            </a:ln>
          </c:spPr>
          <c:invertIfNegative val="0"/>
          <c:cat>
            <c:numRef>
              <c:f>'Low activity over 10m'!$D$91:$M$91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'Low activity over 10m'!$D$95:$M$95</c:f>
              <c:numCache>
                <c:formatCode>0%</c:formatCode>
                <c:ptCount val="10"/>
                <c:pt idx="7">
                  <c:v>0.17880253310801256</c:v>
                </c:pt>
                <c:pt idx="8">
                  <c:v>9.4961233513875795E-2</c:v>
                </c:pt>
              </c:numCache>
            </c:numRef>
          </c:val>
          <c:extLst>
            <c:ext xmlns:c16="http://schemas.microsoft.com/office/drawing/2014/chart" uri="{C3380CC4-5D6E-409C-BE32-E72D297353CC}">
              <c16:uniqueId val="{00000003-3738-4007-A0A2-B36F5D44D422}"/>
            </c:ext>
          </c:extLst>
        </c:ser>
        <c:ser>
          <c:idx val="4"/>
          <c:order val="4"/>
          <c:tx>
            <c:strRef>
              <c:f>'Low activity over 10m'!$C$96</c:f>
              <c:strCache>
                <c:ptCount val="1"/>
                <c:pt idx="0">
                  <c:v>Scallops</c:v>
                </c:pt>
              </c:strCache>
            </c:strRef>
          </c:tx>
          <c:spPr>
            <a:solidFill>
              <a:srgbClr val="E84A38"/>
            </a:solidFill>
            <a:ln>
              <a:solidFill>
                <a:srgbClr val="FFFFFF"/>
              </a:solidFill>
            </a:ln>
          </c:spPr>
          <c:invertIfNegative val="0"/>
          <c:cat>
            <c:numRef>
              <c:f>'Low activity over 10m'!$D$91:$M$91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'Low activity over 10m'!$D$96:$M$96</c:f>
              <c:numCache>
                <c:formatCode>0%</c:formatCode>
                <c:ptCount val="10"/>
                <c:pt idx="0">
                  <c:v>0.18450221938984551</c:v>
                </c:pt>
                <c:pt idx="2">
                  <c:v>0.11018051864684249</c:v>
                </c:pt>
                <c:pt idx="3">
                  <c:v>0.11077788842554562</c:v>
                </c:pt>
                <c:pt idx="4">
                  <c:v>0.25377021699513247</c:v>
                </c:pt>
                <c:pt idx="5">
                  <c:v>4.3077963913320937E-2</c:v>
                </c:pt>
                <c:pt idx="8">
                  <c:v>9.0399028246455182E-2</c:v>
                </c:pt>
                <c:pt idx="9">
                  <c:v>0.23069392082957901</c:v>
                </c:pt>
              </c:numCache>
            </c:numRef>
          </c:val>
          <c:extLst>
            <c:ext xmlns:c16="http://schemas.microsoft.com/office/drawing/2014/chart" uri="{C3380CC4-5D6E-409C-BE32-E72D297353CC}">
              <c16:uniqueId val="{00000004-3738-4007-A0A2-B36F5D44D422}"/>
            </c:ext>
          </c:extLst>
        </c:ser>
        <c:ser>
          <c:idx val="5"/>
          <c:order val="5"/>
          <c:tx>
            <c:strRef>
              <c:f>'Low activity over 10m'!$C$97</c:f>
              <c:strCache>
                <c:ptCount val="1"/>
                <c:pt idx="0">
                  <c:v>Sole</c:v>
                </c:pt>
              </c:strCache>
            </c:strRef>
          </c:tx>
          <c:spPr>
            <a:solidFill>
              <a:srgbClr val="0F9AA9"/>
            </a:solidFill>
            <a:ln>
              <a:solidFill>
                <a:srgbClr val="FFFFFF"/>
              </a:solidFill>
            </a:ln>
          </c:spPr>
          <c:invertIfNegative val="0"/>
          <c:cat>
            <c:numRef>
              <c:f>'Low activity over 10m'!$D$91:$M$91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'Low activity over 10m'!$D$97:$M$97</c:f>
              <c:numCache>
                <c:formatCode>0%</c:formatCode>
                <c:ptCount val="10"/>
                <c:pt idx="0">
                  <c:v>6.6004368930121807E-2</c:v>
                </c:pt>
                <c:pt idx="1">
                  <c:v>8.5569578253825454E-2</c:v>
                </c:pt>
                <c:pt idx="2">
                  <c:v>7.6980014632669541E-2</c:v>
                </c:pt>
                <c:pt idx="3">
                  <c:v>6.9236043148250881E-2</c:v>
                </c:pt>
                <c:pt idx="4">
                  <c:v>5.2181443588873562E-2</c:v>
                </c:pt>
                <c:pt idx="5">
                  <c:v>8.9920164437015018E-2</c:v>
                </c:pt>
                <c:pt idx="9">
                  <c:v>8.7722753989858487E-2</c:v>
                </c:pt>
              </c:numCache>
            </c:numRef>
          </c:val>
          <c:extLst>
            <c:ext xmlns:c16="http://schemas.microsoft.com/office/drawing/2014/chart" uri="{C3380CC4-5D6E-409C-BE32-E72D297353CC}">
              <c16:uniqueId val="{00000005-3738-4007-A0A2-B36F5D44D422}"/>
            </c:ext>
          </c:extLst>
        </c:ser>
        <c:ser>
          <c:idx val="6"/>
          <c:order val="6"/>
          <c:tx>
            <c:strRef>
              <c:f>'Low activity over 10m'!$C$98</c:f>
              <c:strCache>
                <c:ptCount val="1"/>
                <c:pt idx="0">
                  <c:v>Cockles</c:v>
                </c:pt>
              </c:strCache>
            </c:strRef>
          </c:tx>
          <c:spPr>
            <a:solidFill>
              <a:srgbClr val="FED825"/>
            </a:solidFill>
            <a:ln>
              <a:solidFill>
                <a:srgbClr val="FFFFFF"/>
              </a:solidFill>
            </a:ln>
          </c:spPr>
          <c:invertIfNegative val="0"/>
          <c:cat>
            <c:numRef>
              <c:f>'Low activity over 10m'!$D$91:$M$91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'Low activity over 10m'!$D$98:$M$98</c:f>
              <c:numCache>
                <c:formatCode>0%</c:formatCode>
                <c:ptCount val="10"/>
                <c:pt idx="0">
                  <c:v>7.7764796508212636E-2</c:v>
                </c:pt>
                <c:pt idx="1">
                  <c:v>7.5683303106190786E-2</c:v>
                </c:pt>
                <c:pt idx="3">
                  <c:v>9.0349804918228582E-2</c:v>
                </c:pt>
                <c:pt idx="6">
                  <c:v>7.9534628751470257E-2</c:v>
                </c:pt>
                <c:pt idx="7">
                  <c:v>7.0896790603074772E-2</c:v>
                </c:pt>
              </c:numCache>
            </c:numRef>
          </c:val>
          <c:extLst>
            <c:ext xmlns:c16="http://schemas.microsoft.com/office/drawing/2014/chart" uri="{C3380CC4-5D6E-409C-BE32-E72D297353CC}">
              <c16:uniqueId val="{00000006-3738-4007-A0A2-B36F5D44D422}"/>
            </c:ext>
          </c:extLst>
        </c:ser>
        <c:ser>
          <c:idx val="7"/>
          <c:order val="7"/>
          <c:tx>
            <c:strRef>
              <c:f>'Low activity over 10m'!$C$99</c:f>
              <c:strCache>
                <c:ptCount val="1"/>
                <c:pt idx="0">
                  <c:v>Whelks</c:v>
                </c:pt>
              </c:strCache>
            </c:strRef>
          </c:tx>
          <c:spPr>
            <a:solidFill>
              <a:srgbClr val="707271"/>
            </a:solidFill>
            <a:ln>
              <a:solidFill>
                <a:srgbClr val="FFFFFF"/>
              </a:solidFill>
            </a:ln>
          </c:spPr>
          <c:invertIfNegative val="0"/>
          <c:cat>
            <c:numRef>
              <c:f>'Low activity over 10m'!$D$91:$M$91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'Low activity over 10m'!$D$99:$M$99</c:f>
              <c:numCache>
                <c:formatCode>0%</c:formatCode>
                <c:ptCount val="10"/>
                <c:pt idx="4">
                  <c:v>4.8595179059425599E-2</c:v>
                </c:pt>
                <c:pt idx="6">
                  <c:v>9.2857725762357651E-2</c:v>
                </c:pt>
              </c:numCache>
            </c:numRef>
          </c:val>
          <c:extLst>
            <c:ext xmlns:c16="http://schemas.microsoft.com/office/drawing/2014/chart" uri="{C3380CC4-5D6E-409C-BE32-E72D297353CC}">
              <c16:uniqueId val="{00000007-3738-4007-A0A2-B36F5D44D422}"/>
            </c:ext>
          </c:extLst>
        </c:ser>
        <c:ser>
          <c:idx val="8"/>
          <c:order val="8"/>
          <c:tx>
            <c:strRef>
              <c:f>'Low activity over 10m'!$C$100</c:f>
              <c:strCache>
                <c:ptCount val="1"/>
                <c:pt idx="0">
                  <c:v>Velvet Crab</c:v>
                </c:pt>
              </c:strCache>
            </c:strRef>
          </c:tx>
          <c:spPr>
            <a:solidFill>
              <a:srgbClr val="51AA81"/>
            </a:solidFill>
            <a:ln>
              <a:solidFill>
                <a:srgbClr val="FFFFFF"/>
              </a:solidFill>
            </a:ln>
          </c:spPr>
          <c:invertIfNegative val="0"/>
          <c:cat>
            <c:numRef>
              <c:f>'Low activity over 10m'!$D$91:$M$91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'Low activity over 10m'!$D$100:$M$100</c:f>
              <c:numCache>
                <c:formatCode>0%</c:formatCode>
                <c:ptCount val="10"/>
                <c:pt idx="1">
                  <c:v>7.1705441267373743E-2</c:v>
                </c:pt>
              </c:numCache>
            </c:numRef>
          </c:val>
          <c:extLst>
            <c:ext xmlns:c16="http://schemas.microsoft.com/office/drawing/2014/chart" uri="{C3380CC4-5D6E-409C-BE32-E72D297353CC}">
              <c16:uniqueId val="{00000008-3738-4007-A0A2-B36F5D44D422}"/>
            </c:ext>
          </c:extLst>
        </c:ser>
        <c:ser>
          <c:idx val="9"/>
          <c:order val="9"/>
          <c:tx>
            <c:strRef>
              <c:f>'Low activity over 10m'!$C$101</c:f>
              <c:strCache>
                <c:ptCount val="1"/>
                <c:pt idx="0">
                  <c:v>Others</c:v>
                </c:pt>
              </c:strCache>
            </c:strRef>
          </c:tx>
          <c:spPr>
            <a:solidFill>
              <a:srgbClr val="55585A"/>
            </a:solidFill>
            <a:ln>
              <a:solidFill>
                <a:srgbClr val="FFFFFF"/>
              </a:solidFill>
            </a:ln>
          </c:spPr>
          <c:invertIfNegative val="0"/>
          <c:cat>
            <c:numRef>
              <c:f>'Low activity over 10m'!$D$91:$M$91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'Low activity over 10m'!$D$101:$M$101</c:f>
              <c:numCache>
                <c:formatCode>0%</c:formatCode>
                <c:ptCount val="10"/>
                <c:pt idx="0">
                  <c:v>0.3782310670644719</c:v>
                </c:pt>
                <c:pt idx="1">
                  <c:v>0.48259272509976509</c:v>
                </c:pt>
                <c:pt idx="2">
                  <c:v>0.43434108836786867</c:v>
                </c:pt>
                <c:pt idx="3">
                  <c:v>0.42237151790683541</c:v>
                </c:pt>
                <c:pt idx="4">
                  <c:v>0.32564345042067144</c:v>
                </c:pt>
                <c:pt idx="5">
                  <c:v>0.33853127115357651</c:v>
                </c:pt>
                <c:pt idx="6">
                  <c:v>0.33595767715313146</c:v>
                </c:pt>
                <c:pt idx="7">
                  <c:v>0.39676189785254323</c:v>
                </c:pt>
                <c:pt idx="8">
                  <c:v>0.24500922625161772</c:v>
                </c:pt>
                <c:pt idx="9">
                  <c:v>0.24208029205645346</c:v>
                </c:pt>
              </c:numCache>
            </c:numRef>
          </c:val>
          <c:extLst>
            <c:ext xmlns:c16="http://schemas.microsoft.com/office/drawing/2014/chart" uri="{C3380CC4-5D6E-409C-BE32-E72D297353CC}">
              <c16:uniqueId val="{00000009-3738-4007-A0A2-B36F5D44D422}"/>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'Low activity over 10m'!$B$162</c:f>
              <c:strCache>
                <c:ptCount val="1"/>
                <c:pt idx="0">
                  <c:v>Brown Shrimps</c:v>
                </c:pt>
              </c:strCache>
            </c:strRef>
          </c:tx>
          <c:spPr>
            <a:solidFill>
              <a:srgbClr val="2273B9"/>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10m'!$C$162:$E$162</c:f>
              <c:numCache>
                <c:formatCode>0%</c:formatCode>
                <c:ptCount val="3"/>
                <c:pt idx="0">
                  <c:v>0.45554709574351632</c:v>
                </c:pt>
                <c:pt idx="1">
                  <c:v>0.54054545306324131</c:v>
                </c:pt>
                <c:pt idx="2">
                  <c:v>9.1869643338451989E-2</c:v>
                </c:pt>
              </c:numCache>
            </c:numRef>
          </c:val>
          <c:extLst>
            <c:ext xmlns:c16="http://schemas.microsoft.com/office/drawing/2014/chart" uri="{C3380CC4-5D6E-409C-BE32-E72D297353CC}">
              <c16:uniqueId val="{00000000-2A00-4174-AFE1-7AE769A14A9C}"/>
            </c:ext>
          </c:extLst>
        </c:ser>
        <c:ser>
          <c:idx val="1"/>
          <c:order val="1"/>
          <c:tx>
            <c:strRef>
              <c:f>'Low activity over 10m'!$B$163</c:f>
              <c:strCache>
                <c:ptCount val="1"/>
                <c:pt idx="0">
                  <c:v>Nephrops</c:v>
                </c:pt>
              </c:strCache>
            </c:strRef>
          </c:tx>
          <c:spPr>
            <a:solidFill>
              <a:srgbClr val="E87308"/>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10m'!$C$163:$E$163</c:f>
              <c:numCache>
                <c:formatCode>0%</c:formatCode>
                <c:ptCount val="3"/>
                <c:pt idx="0">
                  <c:v>0</c:v>
                </c:pt>
                <c:pt idx="1">
                  <c:v>0.14921889815159772</c:v>
                </c:pt>
                <c:pt idx="2">
                  <c:v>0</c:v>
                </c:pt>
              </c:numCache>
            </c:numRef>
          </c:val>
          <c:extLst>
            <c:ext xmlns:c16="http://schemas.microsoft.com/office/drawing/2014/chart" uri="{C3380CC4-5D6E-409C-BE32-E72D297353CC}">
              <c16:uniqueId val="{00000001-2A00-4174-AFE1-7AE769A14A9C}"/>
            </c:ext>
          </c:extLst>
        </c:ser>
        <c:ser>
          <c:idx val="2"/>
          <c:order val="2"/>
          <c:tx>
            <c:strRef>
              <c:f>'Low activity over 10m'!$B$164</c:f>
              <c:strCache>
                <c:ptCount val="1"/>
                <c:pt idx="0">
                  <c:v>Scallops</c:v>
                </c:pt>
              </c:strCache>
            </c:strRef>
          </c:tx>
          <c:spPr>
            <a:solidFill>
              <a:srgbClr val="E84A38"/>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10m'!$C$164:$E$164</c:f>
              <c:numCache>
                <c:formatCode>0%</c:formatCode>
                <c:ptCount val="3"/>
                <c:pt idx="0">
                  <c:v>4.6367850450272745E-2</c:v>
                </c:pt>
                <c:pt idx="1">
                  <c:v>8.8387162844609138E-2</c:v>
                </c:pt>
                <c:pt idx="2">
                  <c:v>0.17639814121062405</c:v>
                </c:pt>
              </c:numCache>
            </c:numRef>
          </c:val>
          <c:extLst>
            <c:ext xmlns:c16="http://schemas.microsoft.com/office/drawing/2014/chart" uri="{C3380CC4-5D6E-409C-BE32-E72D297353CC}">
              <c16:uniqueId val="{00000002-2A00-4174-AFE1-7AE769A14A9C}"/>
            </c:ext>
          </c:extLst>
        </c:ser>
        <c:ser>
          <c:idx val="3"/>
          <c:order val="3"/>
          <c:tx>
            <c:strRef>
              <c:f>'Low activity over 10m'!$B$165</c:f>
              <c:strCache>
                <c:ptCount val="1"/>
                <c:pt idx="0">
                  <c:v>Brown Crab</c:v>
                </c:pt>
              </c:strCache>
            </c:strRef>
          </c:tx>
          <c:spPr>
            <a:solidFill>
              <a:srgbClr val="C1D119"/>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10m'!$C$165:$E$165</c:f>
              <c:numCache>
                <c:formatCode>0%</c:formatCode>
                <c:ptCount val="3"/>
                <c:pt idx="0">
                  <c:v>0.14499614160316388</c:v>
                </c:pt>
                <c:pt idx="1">
                  <c:v>7.3581781613854896E-2</c:v>
                </c:pt>
                <c:pt idx="2">
                  <c:v>0</c:v>
                </c:pt>
              </c:numCache>
            </c:numRef>
          </c:val>
          <c:extLst>
            <c:ext xmlns:c16="http://schemas.microsoft.com/office/drawing/2014/chart" uri="{C3380CC4-5D6E-409C-BE32-E72D297353CC}">
              <c16:uniqueId val="{00000003-2A00-4174-AFE1-7AE769A14A9C}"/>
            </c:ext>
          </c:extLst>
        </c:ser>
        <c:ser>
          <c:idx val="4"/>
          <c:order val="4"/>
          <c:tx>
            <c:strRef>
              <c:f>'Low activity over 10m'!$B$166</c:f>
              <c:strCache>
                <c:ptCount val="1"/>
                <c:pt idx="0">
                  <c:v>Whelks</c:v>
                </c:pt>
              </c:strCache>
            </c:strRef>
          </c:tx>
          <c:spPr>
            <a:solidFill>
              <a:srgbClr val="0F9AA9"/>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10m'!$C$166:$E$166</c:f>
              <c:numCache>
                <c:formatCode>0%</c:formatCode>
                <c:ptCount val="3"/>
                <c:pt idx="0">
                  <c:v>0.13164263387607392</c:v>
                </c:pt>
                <c:pt idx="1">
                  <c:v>6.6024262012122137E-2</c:v>
                </c:pt>
                <c:pt idx="2">
                  <c:v>0.2809891988931833</c:v>
                </c:pt>
              </c:numCache>
            </c:numRef>
          </c:val>
          <c:extLst>
            <c:ext xmlns:c16="http://schemas.microsoft.com/office/drawing/2014/chart" uri="{C3380CC4-5D6E-409C-BE32-E72D297353CC}">
              <c16:uniqueId val="{00000004-2A00-4174-AFE1-7AE769A14A9C}"/>
            </c:ext>
          </c:extLst>
        </c:ser>
        <c:ser>
          <c:idx val="5"/>
          <c:order val="5"/>
          <c:tx>
            <c:strRef>
              <c:f>'Low activity over 10m'!$B$167</c:f>
              <c:strCache>
                <c:ptCount val="1"/>
                <c:pt idx="0">
                  <c:v>Haddock</c:v>
                </c:pt>
              </c:strCache>
            </c:strRef>
          </c:tx>
          <c:spPr>
            <a:solidFill>
              <a:srgbClr val="FED825"/>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10m'!$C$167:$E$167</c:f>
              <c:numCache>
                <c:formatCode>0%</c:formatCode>
                <c:ptCount val="3"/>
                <c:pt idx="0">
                  <c:v>0</c:v>
                </c:pt>
                <c:pt idx="1">
                  <c:v>0</c:v>
                </c:pt>
                <c:pt idx="2">
                  <c:v>0.106235920603952</c:v>
                </c:pt>
              </c:numCache>
            </c:numRef>
          </c:val>
          <c:extLst>
            <c:ext xmlns:c16="http://schemas.microsoft.com/office/drawing/2014/chart" uri="{C3380CC4-5D6E-409C-BE32-E72D297353CC}">
              <c16:uniqueId val="{00000005-2A00-4174-AFE1-7AE769A14A9C}"/>
            </c:ext>
          </c:extLst>
        </c:ser>
        <c:ser>
          <c:idx val="6"/>
          <c:order val="6"/>
          <c:tx>
            <c:strRef>
              <c:f>'Low activity over 10m'!$B$168</c:f>
              <c:strCache>
                <c:ptCount val="1"/>
                <c:pt idx="0">
                  <c:v>Thornback Ray</c:v>
                </c:pt>
              </c:strCache>
            </c:strRef>
          </c:tx>
          <c:spPr>
            <a:solidFill>
              <a:srgbClr val="707271"/>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10m'!$C$168:$E$168</c:f>
              <c:numCache>
                <c:formatCode>0%</c:formatCode>
                <c:ptCount val="3"/>
                <c:pt idx="0">
                  <c:v>0</c:v>
                </c:pt>
                <c:pt idx="1">
                  <c:v>0</c:v>
                </c:pt>
                <c:pt idx="2">
                  <c:v>8.6059931630700068E-2</c:v>
                </c:pt>
              </c:numCache>
            </c:numRef>
          </c:val>
          <c:extLst>
            <c:ext xmlns:c16="http://schemas.microsoft.com/office/drawing/2014/chart" uri="{C3380CC4-5D6E-409C-BE32-E72D297353CC}">
              <c16:uniqueId val="{00000006-2A00-4174-AFE1-7AE769A14A9C}"/>
            </c:ext>
          </c:extLst>
        </c:ser>
        <c:ser>
          <c:idx val="7"/>
          <c:order val="7"/>
          <c:tx>
            <c:strRef>
              <c:f>'Low activity over 10m'!$B$169</c:f>
              <c:strCache>
                <c:ptCount val="1"/>
                <c:pt idx="0">
                  <c:v>Squid</c:v>
                </c:pt>
              </c:strCache>
            </c:strRef>
          </c:tx>
          <c:spPr>
            <a:solidFill>
              <a:srgbClr val="169FDB"/>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10m'!$C$169:$E$169</c:f>
              <c:numCache>
                <c:formatCode>0%</c:formatCode>
                <c:ptCount val="3"/>
                <c:pt idx="0">
                  <c:v>5.9863392701343825E-2</c:v>
                </c:pt>
                <c:pt idx="1">
                  <c:v>0</c:v>
                </c:pt>
                <c:pt idx="2">
                  <c:v>0</c:v>
                </c:pt>
              </c:numCache>
            </c:numRef>
          </c:val>
          <c:extLst>
            <c:ext xmlns:c16="http://schemas.microsoft.com/office/drawing/2014/chart" uri="{C3380CC4-5D6E-409C-BE32-E72D297353CC}">
              <c16:uniqueId val="{00000007-2A00-4174-AFE1-7AE769A14A9C}"/>
            </c:ext>
          </c:extLst>
        </c:ser>
        <c:ser>
          <c:idx val="8"/>
          <c:order val="8"/>
          <c:tx>
            <c:strRef>
              <c:f>'Low activity over 10m'!$B$170</c:f>
              <c:strCache>
                <c:ptCount val="1"/>
                <c:pt idx="0">
                  <c:v>Others</c:v>
                </c:pt>
              </c:strCache>
            </c:strRef>
          </c:tx>
          <c:spPr>
            <a:solidFill>
              <a:srgbClr val="55585A"/>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10m'!$C$170:$E$170</c:f>
              <c:numCache>
                <c:formatCode>0%</c:formatCode>
                <c:ptCount val="3"/>
                <c:pt idx="0">
                  <c:v>0.1615828856256295</c:v>
                </c:pt>
                <c:pt idx="1">
                  <c:v>8.2242442314574893E-2</c:v>
                </c:pt>
                <c:pt idx="2">
                  <c:v>0.25844716432308856</c:v>
                </c:pt>
              </c:numCache>
            </c:numRef>
          </c:val>
          <c:extLst>
            <c:ext xmlns:c16="http://schemas.microsoft.com/office/drawing/2014/chart" uri="{C3380CC4-5D6E-409C-BE32-E72D297353CC}">
              <c16:uniqueId val="{00000008-2A00-4174-AFE1-7AE769A14A9C}"/>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'Low activity over 10m'!$H$162</c:f>
              <c:strCache>
                <c:ptCount val="1"/>
                <c:pt idx="0">
                  <c:v>Brown Shrimps</c:v>
                </c:pt>
              </c:strCache>
            </c:strRef>
          </c:tx>
          <c:spPr>
            <a:solidFill>
              <a:srgbClr val="2273B9"/>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10m'!$I$162:$K$162</c:f>
              <c:numCache>
                <c:formatCode>0%</c:formatCode>
                <c:ptCount val="3"/>
                <c:pt idx="0">
                  <c:v>0.24230837037606923</c:v>
                </c:pt>
                <c:pt idx="1">
                  <c:v>0.37504096480094318</c:v>
                </c:pt>
                <c:pt idx="2">
                  <c:v>5.8360125052488214E-2</c:v>
                </c:pt>
              </c:numCache>
            </c:numRef>
          </c:val>
          <c:extLst>
            <c:ext xmlns:c16="http://schemas.microsoft.com/office/drawing/2014/chart" uri="{C3380CC4-5D6E-409C-BE32-E72D297353CC}">
              <c16:uniqueId val="{00000000-3E3E-4FA0-A7F2-69E5B8F61909}"/>
            </c:ext>
          </c:extLst>
        </c:ser>
        <c:ser>
          <c:idx val="1"/>
          <c:order val="1"/>
          <c:tx>
            <c:strRef>
              <c:f>'Low activity over 10m'!$H$163</c:f>
              <c:strCache>
                <c:ptCount val="1"/>
                <c:pt idx="0">
                  <c:v>Nephrops</c:v>
                </c:pt>
              </c:strCache>
            </c:strRef>
          </c:tx>
          <c:spPr>
            <a:solidFill>
              <a:srgbClr val="E87308"/>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10m'!$I$163:$K$163</c:f>
              <c:numCache>
                <c:formatCode>0%</c:formatCode>
                <c:ptCount val="3"/>
                <c:pt idx="0">
                  <c:v>0.10094589777417046</c:v>
                </c:pt>
                <c:pt idx="1">
                  <c:v>0.18499124709239356</c:v>
                </c:pt>
                <c:pt idx="2">
                  <c:v>0</c:v>
                </c:pt>
              </c:numCache>
            </c:numRef>
          </c:val>
          <c:extLst>
            <c:ext xmlns:c16="http://schemas.microsoft.com/office/drawing/2014/chart" uri="{C3380CC4-5D6E-409C-BE32-E72D297353CC}">
              <c16:uniqueId val="{00000001-3E3E-4FA0-A7F2-69E5B8F61909}"/>
            </c:ext>
          </c:extLst>
        </c:ser>
        <c:ser>
          <c:idx val="2"/>
          <c:order val="2"/>
          <c:tx>
            <c:strRef>
              <c:f>'Low activity over 10m'!$H$164</c:f>
              <c:strCache>
                <c:ptCount val="1"/>
                <c:pt idx="0">
                  <c:v>Scallops</c:v>
                </c:pt>
              </c:strCache>
            </c:strRef>
          </c:tx>
          <c:spPr>
            <a:solidFill>
              <a:srgbClr val="E84A38"/>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10m'!$I$164:$K$164</c:f>
              <c:numCache>
                <c:formatCode>0%</c:formatCode>
                <c:ptCount val="3"/>
                <c:pt idx="0">
                  <c:v>0</c:v>
                </c:pt>
                <c:pt idx="1">
                  <c:v>9.7862997425324158E-2</c:v>
                </c:pt>
                <c:pt idx="2">
                  <c:v>0.15734390526618947</c:v>
                </c:pt>
              </c:numCache>
            </c:numRef>
          </c:val>
          <c:extLst>
            <c:ext xmlns:c16="http://schemas.microsoft.com/office/drawing/2014/chart" uri="{C3380CC4-5D6E-409C-BE32-E72D297353CC}">
              <c16:uniqueId val="{00000002-3E3E-4FA0-A7F2-69E5B8F61909}"/>
            </c:ext>
          </c:extLst>
        </c:ser>
        <c:ser>
          <c:idx val="3"/>
          <c:order val="3"/>
          <c:tx>
            <c:strRef>
              <c:f>'Low activity over 10m'!$H$165</c:f>
              <c:strCache>
                <c:ptCount val="1"/>
                <c:pt idx="0">
                  <c:v>Brown Crab</c:v>
                </c:pt>
              </c:strCache>
            </c:strRef>
          </c:tx>
          <c:spPr>
            <a:solidFill>
              <a:srgbClr val="C1D119"/>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10m'!$I$165:$K$165</c:f>
              <c:numCache>
                <c:formatCode>0%</c:formatCode>
                <c:ptCount val="3"/>
                <c:pt idx="0">
                  <c:v>0.13485966762838836</c:v>
                </c:pt>
                <c:pt idx="1">
                  <c:v>9.6980355651783132E-2</c:v>
                </c:pt>
                <c:pt idx="2">
                  <c:v>0</c:v>
                </c:pt>
              </c:numCache>
            </c:numRef>
          </c:val>
          <c:extLst>
            <c:ext xmlns:c16="http://schemas.microsoft.com/office/drawing/2014/chart" uri="{C3380CC4-5D6E-409C-BE32-E72D297353CC}">
              <c16:uniqueId val="{00000003-3E3E-4FA0-A7F2-69E5B8F61909}"/>
            </c:ext>
          </c:extLst>
        </c:ser>
        <c:ser>
          <c:idx val="4"/>
          <c:order val="4"/>
          <c:tx>
            <c:strRef>
              <c:f>'Low activity over 10m'!$H$166</c:f>
              <c:strCache>
                <c:ptCount val="1"/>
                <c:pt idx="0">
                  <c:v>Lobsters</c:v>
                </c:pt>
              </c:strCache>
            </c:strRef>
          </c:tx>
          <c:spPr>
            <a:solidFill>
              <a:srgbClr val="648C2E"/>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10m'!$I$166:$K$166</c:f>
              <c:numCache>
                <c:formatCode>0%</c:formatCode>
                <c:ptCount val="3"/>
                <c:pt idx="0">
                  <c:v>0.23050979825613627</c:v>
                </c:pt>
                <c:pt idx="1">
                  <c:v>7.9233575052504612E-2</c:v>
                </c:pt>
                <c:pt idx="2">
                  <c:v>0.23305568395168666</c:v>
                </c:pt>
              </c:numCache>
            </c:numRef>
          </c:val>
          <c:extLst>
            <c:ext xmlns:c16="http://schemas.microsoft.com/office/drawing/2014/chart" uri="{C3380CC4-5D6E-409C-BE32-E72D297353CC}">
              <c16:uniqueId val="{00000004-3E3E-4FA0-A7F2-69E5B8F61909}"/>
            </c:ext>
          </c:extLst>
        </c:ser>
        <c:ser>
          <c:idx val="5"/>
          <c:order val="5"/>
          <c:tx>
            <c:strRef>
              <c:f>'Low activity over 10m'!$H$167</c:f>
              <c:strCache>
                <c:ptCount val="1"/>
                <c:pt idx="0">
                  <c:v>Whelks</c:v>
                </c:pt>
              </c:strCache>
            </c:strRef>
          </c:tx>
          <c:spPr>
            <a:solidFill>
              <a:srgbClr val="0F9AA9"/>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10m'!$I$167:$K$167</c:f>
              <c:numCache>
                <c:formatCode>0%</c:formatCode>
                <c:ptCount val="3"/>
                <c:pt idx="0">
                  <c:v>0</c:v>
                </c:pt>
                <c:pt idx="1">
                  <c:v>0</c:v>
                </c:pt>
                <c:pt idx="2">
                  <c:v>0.16797917550630517</c:v>
                </c:pt>
              </c:numCache>
            </c:numRef>
          </c:val>
          <c:extLst>
            <c:ext xmlns:c16="http://schemas.microsoft.com/office/drawing/2014/chart" uri="{C3380CC4-5D6E-409C-BE32-E72D297353CC}">
              <c16:uniqueId val="{00000005-3E3E-4FA0-A7F2-69E5B8F61909}"/>
            </c:ext>
          </c:extLst>
        </c:ser>
        <c:ser>
          <c:idx val="6"/>
          <c:order val="6"/>
          <c:tx>
            <c:strRef>
              <c:f>'Low activity over 10m'!$H$168</c:f>
              <c:strCache>
                <c:ptCount val="1"/>
                <c:pt idx="0">
                  <c:v>Bass</c:v>
                </c:pt>
              </c:strCache>
            </c:strRef>
          </c:tx>
          <c:spPr>
            <a:solidFill>
              <a:srgbClr val="51AA81"/>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10m'!$I$168:$K$168</c:f>
              <c:numCache>
                <c:formatCode>0%</c:formatCode>
                <c:ptCount val="3"/>
                <c:pt idx="0">
                  <c:v>0</c:v>
                </c:pt>
                <c:pt idx="1">
                  <c:v>0</c:v>
                </c:pt>
                <c:pt idx="2">
                  <c:v>0.1543167126602677</c:v>
                </c:pt>
              </c:numCache>
            </c:numRef>
          </c:val>
          <c:extLst>
            <c:ext xmlns:c16="http://schemas.microsoft.com/office/drawing/2014/chart" uri="{C3380CC4-5D6E-409C-BE32-E72D297353CC}">
              <c16:uniqueId val="{00000006-3E3E-4FA0-A7F2-69E5B8F61909}"/>
            </c:ext>
          </c:extLst>
        </c:ser>
        <c:ser>
          <c:idx val="7"/>
          <c:order val="7"/>
          <c:tx>
            <c:strRef>
              <c:f>'Low activity over 10m'!$H$169</c:f>
              <c:strCache>
                <c:ptCount val="1"/>
                <c:pt idx="0">
                  <c:v>Sole</c:v>
                </c:pt>
              </c:strCache>
            </c:strRef>
          </c:tx>
          <c:spPr>
            <a:solidFill>
              <a:srgbClr val="E40D2C"/>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10m'!$I$169:$K$169</c:f>
              <c:numCache>
                <c:formatCode>0%</c:formatCode>
                <c:ptCount val="3"/>
                <c:pt idx="0">
                  <c:v>0.11641941892813094</c:v>
                </c:pt>
                <c:pt idx="1">
                  <c:v>0</c:v>
                </c:pt>
                <c:pt idx="2">
                  <c:v>0</c:v>
                </c:pt>
              </c:numCache>
            </c:numRef>
          </c:val>
          <c:extLst>
            <c:ext xmlns:c16="http://schemas.microsoft.com/office/drawing/2014/chart" uri="{C3380CC4-5D6E-409C-BE32-E72D297353CC}">
              <c16:uniqueId val="{00000007-3E3E-4FA0-A7F2-69E5B8F61909}"/>
            </c:ext>
          </c:extLst>
        </c:ser>
        <c:ser>
          <c:idx val="8"/>
          <c:order val="8"/>
          <c:tx>
            <c:strRef>
              <c:f>'Low activity over 10m'!$H$170</c:f>
              <c:strCache>
                <c:ptCount val="1"/>
                <c:pt idx="0">
                  <c:v>Others</c:v>
                </c:pt>
              </c:strCache>
            </c:strRef>
          </c:tx>
          <c:spPr>
            <a:solidFill>
              <a:srgbClr val="55585A"/>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10m'!$I$170:$K$170</c:f>
              <c:numCache>
                <c:formatCode>0%</c:formatCode>
                <c:ptCount val="3"/>
                <c:pt idx="0">
                  <c:v>0.17495684703710479</c:v>
                </c:pt>
                <c:pt idx="1">
                  <c:v>0.16589085997705144</c:v>
                </c:pt>
                <c:pt idx="2">
                  <c:v>0.22894439756306273</c:v>
                </c:pt>
              </c:numCache>
            </c:numRef>
          </c:val>
          <c:extLst>
            <c:ext xmlns:c16="http://schemas.microsoft.com/office/drawing/2014/chart" uri="{C3380CC4-5D6E-409C-BE32-E72D297353CC}">
              <c16:uniqueId val="{00000008-3E3E-4FA0-A7F2-69E5B8F61909}"/>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'Low activity over 10m'!$K$139</c:f>
              <c:strCache>
                <c:ptCount val="1"/>
                <c:pt idx="0">
                  <c:v>Total income</c:v>
                </c:pt>
              </c:strCache>
            </c:strRef>
          </c:tx>
          <c:spPr>
            <a:solidFill>
              <a:srgbClr val="087CBB"/>
            </a:solidFill>
            <a:ln>
              <a:solidFill>
                <a:schemeClr val="accent1"/>
              </a:solidFill>
            </a:ln>
          </c:spPr>
          <c:invertIfNegative val="0"/>
          <c:cat>
            <c:strRef>
              <c:f>'Low activity over 10m'!$L$138:$N$138</c:f>
              <c:strCache>
                <c:ptCount val="3"/>
                <c:pt idx="0">
                  <c:v>Most
profitable
quartile</c:v>
                </c:pt>
                <c:pt idx="1">
                  <c:v>Middle
two quartiles</c:v>
                </c:pt>
                <c:pt idx="2">
                  <c:v>Least
profitable
quartile</c:v>
                </c:pt>
              </c:strCache>
            </c:strRef>
          </c:cat>
          <c:val>
            <c:numRef>
              <c:f>'Low activity over 10m'!$L$139:$N$139</c:f>
              <c:numCache>
                <c:formatCode>#,##0</c:formatCode>
                <c:ptCount val="3"/>
                <c:pt idx="0">
                  <c:v>4.4929301757812503</c:v>
                </c:pt>
                <c:pt idx="1">
                  <c:v>5.4909301757812496</c:v>
                </c:pt>
                <c:pt idx="2">
                  <c:v>2.6963132324218799</c:v>
                </c:pt>
              </c:numCache>
            </c:numRef>
          </c:val>
          <c:extLst>
            <c:ext xmlns:c16="http://schemas.microsoft.com/office/drawing/2014/chart" uri="{C3380CC4-5D6E-409C-BE32-E72D297353CC}">
              <c16:uniqueId val="{00000000-2C11-4F6F-BB86-02279D6A0A7D}"/>
            </c:ext>
          </c:extLst>
        </c:ser>
        <c:ser>
          <c:idx val="1"/>
          <c:order val="1"/>
          <c:tx>
            <c:strRef>
              <c:f>'Low activity over 10m'!$K$140</c:f>
              <c:strCache>
                <c:ptCount val="1"/>
                <c:pt idx="0">
                  <c:v>Operating costs</c:v>
                </c:pt>
              </c:strCache>
            </c:strRef>
          </c:tx>
          <c:spPr>
            <a:solidFill>
              <a:srgbClr val="E87308"/>
            </a:solidFill>
          </c:spPr>
          <c:invertIfNegative val="0"/>
          <c:cat>
            <c:strRef>
              <c:f>'Low activity over 10m'!$L$138:$N$138</c:f>
              <c:strCache>
                <c:ptCount val="3"/>
                <c:pt idx="0">
                  <c:v>Most
profitable
quartile</c:v>
                </c:pt>
                <c:pt idx="1">
                  <c:v>Middle
two quartiles</c:v>
                </c:pt>
                <c:pt idx="2">
                  <c:v>Least
profitable
quartile</c:v>
                </c:pt>
              </c:strCache>
            </c:strRef>
          </c:cat>
          <c:val>
            <c:numRef>
              <c:f>'Low activity over 10m'!$L$140:$N$140</c:f>
              <c:numCache>
                <c:formatCode>#,##0</c:formatCode>
                <c:ptCount val="3"/>
                <c:pt idx="0">
                  <c:v>5.2485693359374999</c:v>
                </c:pt>
                <c:pt idx="1">
                  <c:v>7.8042556152343696</c:v>
                </c:pt>
                <c:pt idx="2">
                  <c:v>7.1205556640624996</c:v>
                </c:pt>
              </c:numCache>
            </c:numRef>
          </c:val>
          <c:extLst>
            <c:ext xmlns:c16="http://schemas.microsoft.com/office/drawing/2014/chart" uri="{C3380CC4-5D6E-409C-BE32-E72D297353CC}">
              <c16:uniqueId val="{00000001-2C11-4F6F-BB86-02279D6A0A7D}"/>
            </c:ext>
          </c:extLst>
        </c:ser>
        <c:ser>
          <c:idx val="2"/>
          <c:order val="2"/>
          <c:tx>
            <c:strRef>
              <c:f>'Low activity over 10m'!$K$141</c:f>
              <c:strCache>
                <c:ptCount val="1"/>
                <c:pt idx="0">
                  <c:v>Operating profit</c:v>
                </c:pt>
              </c:strCache>
            </c:strRef>
          </c:tx>
          <c:spPr>
            <a:solidFill>
              <a:srgbClr val="51AA81"/>
            </a:solidFill>
          </c:spPr>
          <c:invertIfNegative val="0"/>
          <c:cat>
            <c:strRef>
              <c:f>'Low activity over 10m'!$L$138:$N$138</c:f>
              <c:strCache>
                <c:ptCount val="3"/>
                <c:pt idx="0">
                  <c:v>Most
profitable
quartile</c:v>
                </c:pt>
                <c:pt idx="1">
                  <c:v>Middle
two quartiles</c:v>
                </c:pt>
                <c:pt idx="2">
                  <c:v>Least
profitable
quartile</c:v>
                </c:pt>
              </c:strCache>
            </c:strRef>
          </c:cat>
          <c:val>
            <c:numRef>
              <c:f>'Low activity over 10m'!$L$141:$N$141</c:f>
              <c:numCache>
                <c:formatCode>#,##0</c:formatCode>
                <c:ptCount val="3"/>
                <c:pt idx="0">
                  <c:v>-0.75563916015624999</c:v>
                </c:pt>
                <c:pt idx="1">
                  <c:v>-2.31332543945312</c:v>
                </c:pt>
                <c:pt idx="2">
                  <c:v>-4.4242424316406304</c:v>
                </c:pt>
              </c:numCache>
            </c:numRef>
          </c:val>
          <c:extLst>
            <c:ext xmlns:c16="http://schemas.microsoft.com/office/drawing/2014/chart" uri="{C3380CC4-5D6E-409C-BE32-E72D297353CC}">
              <c16:uniqueId val="{00000002-2C11-4F6F-BB86-02279D6A0A7D}"/>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'Low activity over 10m'!$K$142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10m'!$A$48</c:f>
          <c:strCache>
            <c:ptCount val="1"/>
            <c:pt idx="0">
              <c:v>Landings per kW day at sea (kg)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4375-40D2-A50C-DB4ECFB6B71A}"/>
              </c:ext>
            </c:extLst>
          </c:dPt>
          <c:dPt>
            <c:idx val="10"/>
            <c:bubble3D val="0"/>
            <c:spPr>
              <a:ln w="57150">
                <a:solidFill>
                  <a:srgbClr val="2273B9"/>
                </a:solidFill>
                <a:prstDash val="sysDot"/>
              </a:ln>
            </c:spPr>
            <c:extLst>
              <c:ext xmlns:c16="http://schemas.microsoft.com/office/drawing/2014/chart" uri="{C3380CC4-5D6E-409C-BE32-E72D297353CC}">
                <c16:uniqueId val="{00000003-4375-40D2-A50C-DB4ECFB6B71A}"/>
              </c:ext>
            </c:extLst>
          </c:dPt>
          <c:cat>
            <c:numRef>
              <c:f>'Low activity under 10m'!$D$2:$N$2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'Low activity under 10m'!$D$21:$N$21</c:f>
              <c:numCache>
                <c:formatCode>#,##0.00</c:formatCode>
                <c:ptCount val="11"/>
                <c:pt idx="0">
                  <c:v>1.8909341745829331</c:v>
                </c:pt>
                <c:pt idx="1">
                  <c:v>2.0288179722484694</c:v>
                </c:pt>
                <c:pt idx="2">
                  <c:v>1.6885873937170193</c:v>
                </c:pt>
                <c:pt idx="3">
                  <c:v>1.5783058401426224</c:v>
                </c:pt>
                <c:pt idx="4">
                  <c:v>1.4114384911024449</c:v>
                </c:pt>
                <c:pt idx="5">
                  <c:v>1.2766409891640842</c:v>
                </c:pt>
                <c:pt idx="6">
                  <c:v>1.4874768848697868</c:v>
                </c:pt>
                <c:pt idx="7">
                  <c:v>1.7271306304017957</c:v>
                </c:pt>
                <c:pt idx="8">
                  <c:v>1.7050403649817785</c:v>
                </c:pt>
                <c:pt idx="9">
                  <c:v>1.6030943940493534</c:v>
                </c:pt>
                <c:pt idx="10">
                  <c:v>1.7054947125840729</c:v>
                </c:pt>
              </c:numCache>
            </c:numRef>
          </c:val>
          <c:smooth val="0"/>
          <c:extLst>
            <c:ext xmlns:c16="http://schemas.microsoft.com/office/drawing/2014/chart" uri="{C3380CC4-5D6E-409C-BE32-E72D297353CC}">
              <c16:uniqueId val="{00000004-4375-40D2-A50C-DB4ECFB6B71A}"/>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'Area VIIa demersal trawl'!$H$162</c:f>
              <c:strCache>
                <c:ptCount val="1"/>
                <c:pt idx="0">
                  <c:v>Haddock</c:v>
                </c:pt>
              </c:strCache>
            </c:strRef>
          </c:tx>
          <c:spPr>
            <a:solidFill>
              <a:srgbClr val="2273B9"/>
            </a:solidFill>
            <a:ln>
              <a:solidFill>
                <a:srgbClr val="FFFFFF"/>
              </a:solidFill>
            </a:ln>
          </c:spPr>
          <c:invertIfNegative val="0"/>
          <c:cat>
            <c:strRef>
              <c:f>'Area VIIa demersal trawl'!$I$161:$K$161</c:f>
              <c:strCache>
                <c:ptCount val="3"/>
                <c:pt idx="0">
                  <c:v>Most
profitable
quartile</c:v>
                </c:pt>
                <c:pt idx="1">
                  <c:v>Middle 
two quartiles</c:v>
                </c:pt>
                <c:pt idx="2">
                  <c:v>Least
profitable
quartile</c:v>
                </c:pt>
              </c:strCache>
            </c:strRef>
          </c:cat>
          <c:val>
            <c:numRef>
              <c:f>'Area VIIa demersal trawl'!$I$162:$K$162</c:f>
              <c:numCache>
                <c:formatCode>0%</c:formatCode>
                <c:ptCount val="3"/>
                <c:pt idx="0">
                  <c:v>0</c:v>
                </c:pt>
                <c:pt idx="1">
                  <c:v>0.42259661886659883</c:v>
                </c:pt>
                <c:pt idx="2">
                  <c:v>0</c:v>
                </c:pt>
              </c:numCache>
            </c:numRef>
          </c:val>
          <c:extLst>
            <c:ext xmlns:c16="http://schemas.microsoft.com/office/drawing/2014/chart" uri="{C3380CC4-5D6E-409C-BE32-E72D297353CC}">
              <c16:uniqueId val="{00000000-5B44-4659-BA63-3F6D4740397D}"/>
            </c:ext>
          </c:extLst>
        </c:ser>
        <c:ser>
          <c:idx val="1"/>
          <c:order val="1"/>
          <c:tx>
            <c:strRef>
              <c:f>'Area VIIa demersal trawl'!$H$163</c:f>
              <c:strCache>
                <c:ptCount val="1"/>
                <c:pt idx="0">
                  <c:v>Nephrops</c:v>
                </c:pt>
              </c:strCache>
            </c:strRef>
          </c:tx>
          <c:spPr>
            <a:solidFill>
              <a:srgbClr val="E87308"/>
            </a:solidFill>
            <a:ln>
              <a:solidFill>
                <a:srgbClr val="FFFFFF"/>
              </a:solidFill>
            </a:ln>
          </c:spPr>
          <c:invertIfNegative val="0"/>
          <c:cat>
            <c:strRef>
              <c:f>'Area VIIa demersal trawl'!$I$161:$K$161</c:f>
              <c:strCache>
                <c:ptCount val="3"/>
                <c:pt idx="0">
                  <c:v>Most
profitable
quartile</c:v>
                </c:pt>
                <c:pt idx="1">
                  <c:v>Middle 
two quartiles</c:v>
                </c:pt>
                <c:pt idx="2">
                  <c:v>Least
profitable
quartile</c:v>
                </c:pt>
              </c:strCache>
            </c:strRef>
          </c:cat>
          <c:val>
            <c:numRef>
              <c:f>'Area VIIa demersal trawl'!$I$163:$K$163</c:f>
              <c:numCache>
                <c:formatCode>0%</c:formatCode>
                <c:ptCount val="3"/>
                <c:pt idx="0">
                  <c:v>0</c:v>
                </c:pt>
                <c:pt idx="1">
                  <c:v>0.20474522259668157</c:v>
                </c:pt>
                <c:pt idx="2">
                  <c:v>0</c:v>
                </c:pt>
              </c:numCache>
            </c:numRef>
          </c:val>
          <c:extLst>
            <c:ext xmlns:c16="http://schemas.microsoft.com/office/drawing/2014/chart" uri="{C3380CC4-5D6E-409C-BE32-E72D297353CC}">
              <c16:uniqueId val="{00000001-5B44-4659-BA63-3F6D4740397D}"/>
            </c:ext>
          </c:extLst>
        </c:ser>
        <c:ser>
          <c:idx val="2"/>
          <c:order val="2"/>
          <c:tx>
            <c:strRef>
              <c:f>'Area VIIa demersal trawl'!$H$164</c:f>
              <c:strCache>
                <c:ptCount val="1"/>
                <c:pt idx="0">
                  <c:v>Cod</c:v>
                </c:pt>
              </c:strCache>
            </c:strRef>
          </c:tx>
          <c:spPr>
            <a:solidFill>
              <a:srgbClr val="648C2E"/>
            </a:solidFill>
            <a:ln>
              <a:solidFill>
                <a:srgbClr val="FFFFFF"/>
              </a:solidFill>
            </a:ln>
          </c:spPr>
          <c:invertIfNegative val="0"/>
          <c:cat>
            <c:strRef>
              <c:f>'Area VIIa demersal trawl'!$I$161:$K$161</c:f>
              <c:strCache>
                <c:ptCount val="3"/>
                <c:pt idx="0">
                  <c:v>Most
profitable
quartile</c:v>
                </c:pt>
                <c:pt idx="1">
                  <c:v>Middle 
two quartiles</c:v>
                </c:pt>
                <c:pt idx="2">
                  <c:v>Least
profitable
quartile</c:v>
                </c:pt>
              </c:strCache>
            </c:strRef>
          </c:cat>
          <c:val>
            <c:numRef>
              <c:f>'Area VIIa demersal trawl'!$I$164:$K$164</c:f>
              <c:numCache>
                <c:formatCode>0%</c:formatCode>
                <c:ptCount val="3"/>
                <c:pt idx="0">
                  <c:v>0</c:v>
                </c:pt>
                <c:pt idx="1">
                  <c:v>0.14274945183192972</c:v>
                </c:pt>
                <c:pt idx="2">
                  <c:v>0</c:v>
                </c:pt>
              </c:numCache>
            </c:numRef>
          </c:val>
          <c:extLst>
            <c:ext xmlns:c16="http://schemas.microsoft.com/office/drawing/2014/chart" uri="{C3380CC4-5D6E-409C-BE32-E72D297353CC}">
              <c16:uniqueId val="{00000002-5B44-4659-BA63-3F6D4740397D}"/>
            </c:ext>
          </c:extLst>
        </c:ser>
        <c:ser>
          <c:idx val="3"/>
          <c:order val="3"/>
          <c:tx>
            <c:strRef>
              <c:f>'Area VIIa demersal trawl'!$H$165</c:f>
              <c:strCache>
                <c:ptCount val="1"/>
                <c:pt idx="0">
                  <c:v>Hake</c:v>
                </c:pt>
              </c:strCache>
            </c:strRef>
          </c:tx>
          <c:spPr>
            <a:solidFill>
              <a:srgbClr val="E84A38"/>
            </a:solidFill>
            <a:ln>
              <a:solidFill>
                <a:srgbClr val="FFFFFF"/>
              </a:solidFill>
            </a:ln>
          </c:spPr>
          <c:invertIfNegative val="0"/>
          <c:cat>
            <c:strRef>
              <c:f>'Area VIIa demersal trawl'!$I$161:$K$161</c:f>
              <c:strCache>
                <c:ptCount val="3"/>
                <c:pt idx="0">
                  <c:v>Most
profitable
quartile</c:v>
                </c:pt>
                <c:pt idx="1">
                  <c:v>Middle 
two quartiles</c:v>
                </c:pt>
                <c:pt idx="2">
                  <c:v>Least
profitable
quartile</c:v>
                </c:pt>
              </c:strCache>
            </c:strRef>
          </c:cat>
          <c:val>
            <c:numRef>
              <c:f>'Area VIIa demersal trawl'!$I$165:$K$165</c:f>
              <c:numCache>
                <c:formatCode>0%</c:formatCode>
                <c:ptCount val="3"/>
                <c:pt idx="0">
                  <c:v>0</c:v>
                </c:pt>
                <c:pt idx="1">
                  <c:v>9.3773079055369121E-2</c:v>
                </c:pt>
                <c:pt idx="2">
                  <c:v>0</c:v>
                </c:pt>
              </c:numCache>
            </c:numRef>
          </c:val>
          <c:extLst>
            <c:ext xmlns:c16="http://schemas.microsoft.com/office/drawing/2014/chart" uri="{C3380CC4-5D6E-409C-BE32-E72D297353CC}">
              <c16:uniqueId val="{00000003-5B44-4659-BA63-3F6D4740397D}"/>
            </c:ext>
          </c:extLst>
        </c:ser>
        <c:ser>
          <c:idx val="4"/>
          <c:order val="4"/>
          <c:tx>
            <c:strRef>
              <c:f>'Area VIIa demersal trawl'!$H$166</c:f>
              <c:strCache>
                <c:ptCount val="1"/>
                <c:pt idx="0">
                  <c:v>Scallops</c:v>
                </c:pt>
              </c:strCache>
            </c:strRef>
          </c:tx>
          <c:spPr>
            <a:solidFill>
              <a:srgbClr val="C1D119"/>
            </a:solidFill>
            <a:ln>
              <a:solidFill>
                <a:srgbClr val="FFFFFF"/>
              </a:solidFill>
            </a:ln>
          </c:spPr>
          <c:invertIfNegative val="0"/>
          <c:cat>
            <c:strRef>
              <c:f>'Area VIIa demersal trawl'!$I$161:$K$161</c:f>
              <c:strCache>
                <c:ptCount val="3"/>
                <c:pt idx="0">
                  <c:v>Most
profitable
quartile</c:v>
                </c:pt>
                <c:pt idx="1">
                  <c:v>Middle 
two quartiles</c:v>
                </c:pt>
                <c:pt idx="2">
                  <c:v>Least
profitable
quartile</c:v>
                </c:pt>
              </c:strCache>
            </c:strRef>
          </c:cat>
          <c:val>
            <c:numRef>
              <c:f>'Area VIIa demersal trawl'!$I$166:$K$166</c:f>
              <c:numCache>
                <c:formatCode>0%</c:formatCode>
                <c:ptCount val="3"/>
                <c:pt idx="0">
                  <c:v>0</c:v>
                </c:pt>
                <c:pt idx="1">
                  <c:v>4.7380540388908307E-2</c:v>
                </c:pt>
                <c:pt idx="2">
                  <c:v>0</c:v>
                </c:pt>
              </c:numCache>
            </c:numRef>
          </c:val>
          <c:extLst>
            <c:ext xmlns:c16="http://schemas.microsoft.com/office/drawing/2014/chart" uri="{C3380CC4-5D6E-409C-BE32-E72D297353CC}">
              <c16:uniqueId val="{00000004-5B44-4659-BA63-3F6D4740397D}"/>
            </c:ext>
          </c:extLst>
        </c:ser>
        <c:ser>
          <c:idx val="5"/>
          <c:order val="5"/>
          <c:tx>
            <c:strRef>
              <c:f>'Area VIIa demersal trawl'!$H$167</c:f>
              <c:strCache>
                <c:ptCount val="1"/>
                <c:pt idx="0">
                  <c:v>Queen Scallops</c:v>
                </c:pt>
              </c:strCache>
            </c:strRef>
          </c:tx>
          <c:spPr>
            <a:solidFill>
              <a:srgbClr val="FED825"/>
            </a:solidFill>
            <a:ln>
              <a:solidFill>
                <a:srgbClr val="FFFFFF"/>
              </a:solidFill>
            </a:ln>
          </c:spPr>
          <c:invertIfNegative val="0"/>
          <c:cat>
            <c:strRef>
              <c:f>'Area VIIa demersal trawl'!$I$161:$K$161</c:f>
              <c:strCache>
                <c:ptCount val="3"/>
                <c:pt idx="0">
                  <c:v>Most
profitable
quartile</c:v>
                </c:pt>
                <c:pt idx="1">
                  <c:v>Middle 
two quartiles</c:v>
                </c:pt>
                <c:pt idx="2">
                  <c:v>Least
profitable
quartile</c:v>
                </c:pt>
              </c:strCache>
            </c:strRef>
          </c:cat>
          <c:val>
            <c:numRef>
              <c:f>'Area VIIa demersal trawl'!$I$167:$K$167</c:f>
              <c:numCache>
                <c:formatCode>0%</c:formatCode>
                <c:ptCount val="3"/>
                <c:pt idx="0">
                  <c:v>0</c:v>
                </c:pt>
                <c:pt idx="1">
                  <c:v>0</c:v>
                </c:pt>
                <c:pt idx="2">
                  <c:v>0</c:v>
                </c:pt>
              </c:numCache>
            </c:numRef>
          </c:val>
          <c:extLst>
            <c:ext xmlns:c16="http://schemas.microsoft.com/office/drawing/2014/chart" uri="{C3380CC4-5D6E-409C-BE32-E72D297353CC}">
              <c16:uniqueId val="{00000005-5B44-4659-BA63-3F6D4740397D}"/>
            </c:ext>
          </c:extLst>
        </c:ser>
        <c:ser>
          <c:idx val="6"/>
          <c:order val="6"/>
          <c:tx>
            <c:strRef>
              <c:f>'Area VIIa demersal trawl'!$H$168</c:f>
              <c:strCache>
                <c:ptCount val="1"/>
                <c:pt idx="0">
                  <c:v>Plaice</c:v>
                </c:pt>
              </c:strCache>
            </c:strRef>
          </c:tx>
          <c:spPr>
            <a:solidFill>
              <a:srgbClr val="707271"/>
            </a:solidFill>
            <a:ln>
              <a:solidFill>
                <a:srgbClr val="FFFFFF"/>
              </a:solidFill>
            </a:ln>
          </c:spPr>
          <c:invertIfNegative val="0"/>
          <c:cat>
            <c:strRef>
              <c:f>'Area VIIa demersal trawl'!$I$161:$K$161</c:f>
              <c:strCache>
                <c:ptCount val="3"/>
                <c:pt idx="0">
                  <c:v>Most
profitable
quartile</c:v>
                </c:pt>
                <c:pt idx="1">
                  <c:v>Middle 
two quartiles</c:v>
                </c:pt>
                <c:pt idx="2">
                  <c:v>Least
profitable
quartile</c:v>
                </c:pt>
              </c:strCache>
            </c:strRef>
          </c:cat>
          <c:val>
            <c:numRef>
              <c:f>'Area VIIa demersal trawl'!$I$168:$K$168</c:f>
              <c:numCache>
                <c:formatCode>0%</c:formatCode>
                <c:ptCount val="3"/>
                <c:pt idx="0">
                  <c:v>0</c:v>
                </c:pt>
                <c:pt idx="1">
                  <c:v>0</c:v>
                </c:pt>
                <c:pt idx="2">
                  <c:v>0</c:v>
                </c:pt>
              </c:numCache>
            </c:numRef>
          </c:val>
          <c:extLst>
            <c:ext xmlns:c16="http://schemas.microsoft.com/office/drawing/2014/chart" uri="{C3380CC4-5D6E-409C-BE32-E72D297353CC}">
              <c16:uniqueId val="{00000006-5B44-4659-BA63-3F6D4740397D}"/>
            </c:ext>
          </c:extLst>
        </c:ser>
        <c:ser>
          <c:idx val="7"/>
          <c:order val="7"/>
          <c:tx>
            <c:strRef>
              <c:f>'Area VIIa demersal trawl'!$H$169</c:f>
              <c:strCache>
                <c:ptCount val="1"/>
                <c:pt idx="0">
                  <c:v>Thornback Ray</c:v>
                </c:pt>
              </c:strCache>
            </c:strRef>
          </c:tx>
          <c:spPr>
            <a:solidFill>
              <a:srgbClr val="169FDB"/>
            </a:solidFill>
            <a:ln>
              <a:solidFill>
                <a:srgbClr val="FFFFFF"/>
              </a:solidFill>
            </a:ln>
          </c:spPr>
          <c:invertIfNegative val="0"/>
          <c:cat>
            <c:strRef>
              <c:f>'Area VIIa demersal trawl'!$I$161:$K$161</c:f>
              <c:strCache>
                <c:ptCount val="3"/>
                <c:pt idx="0">
                  <c:v>Most
profitable
quartile</c:v>
                </c:pt>
                <c:pt idx="1">
                  <c:v>Middle 
two quartiles</c:v>
                </c:pt>
                <c:pt idx="2">
                  <c:v>Least
profitable
quartile</c:v>
                </c:pt>
              </c:strCache>
            </c:strRef>
          </c:cat>
          <c:val>
            <c:numRef>
              <c:f>'Area VIIa demersal trawl'!$I$169:$K$169</c:f>
              <c:numCache>
                <c:formatCode>0%</c:formatCode>
                <c:ptCount val="3"/>
                <c:pt idx="0">
                  <c:v>0</c:v>
                </c:pt>
                <c:pt idx="1">
                  <c:v>0</c:v>
                </c:pt>
                <c:pt idx="2">
                  <c:v>0</c:v>
                </c:pt>
              </c:numCache>
            </c:numRef>
          </c:val>
          <c:extLst>
            <c:ext xmlns:c16="http://schemas.microsoft.com/office/drawing/2014/chart" uri="{C3380CC4-5D6E-409C-BE32-E72D297353CC}">
              <c16:uniqueId val="{00000007-5B44-4659-BA63-3F6D4740397D}"/>
            </c:ext>
          </c:extLst>
        </c:ser>
        <c:ser>
          <c:idx val="8"/>
          <c:order val="8"/>
          <c:tx>
            <c:strRef>
              <c:f>'Area VIIa demersal trawl'!$H$170</c:f>
              <c:strCache>
                <c:ptCount val="1"/>
                <c:pt idx="0">
                  <c:v>Brown Crab</c:v>
                </c:pt>
              </c:strCache>
            </c:strRef>
          </c:tx>
          <c:spPr>
            <a:solidFill>
              <a:srgbClr val="0F9AA9"/>
            </a:solidFill>
            <a:ln>
              <a:solidFill>
                <a:srgbClr val="FFFFFF"/>
              </a:solidFill>
            </a:ln>
          </c:spPr>
          <c:invertIfNegative val="0"/>
          <c:cat>
            <c:strRef>
              <c:f>'Area VIIa demersal trawl'!$I$161:$K$161</c:f>
              <c:strCache>
                <c:ptCount val="3"/>
                <c:pt idx="0">
                  <c:v>Most
profitable
quartile</c:v>
                </c:pt>
                <c:pt idx="1">
                  <c:v>Middle 
two quartiles</c:v>
                </c:pt>
                <c:pt idx="2">
                  <c:v>Least
profitable
quartile</c:v>
                </c:pt>
              </c:strCache>
            </c:strRef>
          </c:cat>
          <c:val>
            <c:numRef>
              <c:f>'Area VIIa demersal trawl'!$I$170:$K$170</c:f>
              <c:numCache>
                <c:formatCode>0%</c:formatCode>
                <c:ptCount val="3"/>
                <c:pt idx="0">
                  <c:v>0</c:v>
                </c:pt>
                <c:pt idx="1">
                  <c:v>0</c:v>
                </c:pt>
                <c:pt idx="2">
                  <c:v>0</c:v>
                </c:pt>
              </c:numCache>
            </c:numRef>
          </c:val>
          <c:extLst>
            <c:ext xmlns:c16="http://schemas.microsoft.com/office/drawing/2014/chart" uri="{C3380CC4-5D6E-409C-BE32-E72D297353CC}">
              <c16:uniqueId val="{00000008-5B44-4659-BA63-3F6D4740397D}"/>
            </c:ext>
          </c:extLst>
        </c:ser>
        <c:ser>
          <c:idx val="9"/>
          <c:order val="9"/>
          <c:tx>
            <c:strRef>
              <c:f>'Area VIIa demersal trawl'!$H$171</c:f>
              <c:strCache>
                <c:ptCount val="1"/>
                <c:pt idx="0">
                  <c:v>Others</c:v>
                </c:pt>
              </c:strCache>
            </c:strRef>
          </c:tx>
          <c:spPr>
            <a:solidFill>
              <a:srgbClr val="55585A"/>
            </a:solidFill>
            <a:ln>
              <a:solidFill>
                <a:srgbClr val="FFFFFF"/>
              </a:solidFill>
            </a:ln>
          </c:spPr>
          <c:invertIfNegative val="0"/>
          <c:cat>
            <c:strRef>
              <c:f>'Area VIIa demersal trawl'!$I$161:$K$161</c:f>
              <c:strCache>
                <c:ptCount val="3"/>
                <c:pt idx="0">
                  <c:v>Most
profitable
quartile</c:v>
                </c:pt>
                <c:pt idx="1">
                  <c:v>Middle 
two quartiles</c:v>
                </c:pt>
                <c:pt idx="2">
                  <c:v>Least
profitable
quartile</c:v>
                </c:pt>
              </c:strCache>
            </c:strRef>
          </c:cat>
          <c:val>
            <c:numRef>
              <c:f>'Area VIIa demersal trawl'!$I$171:$K$171</c:f>
              <c:numCache>
                <c:formatCode>0%</c:formatCode>
                <c:ptCount val="3"/>
                <c:pt idx="0">
                  <c:v>0</c:v>
                </c:pt>
                <c:pt idx="1">
                  <c:v>8.87550872605124E-2</c:v>
                </c:pt>
                <c:pt idx="2">
                  <c:v>0</c:v>
                </c:pt>
              </c:numCache>
            </c:numRef>
          </c:val>
          <c:extLst>
            <c:ext xmlns:c16="http://schemas.microsoft.com/office/drawing/2014/chart" uri="{C3380CC4-5D6E-409C-BE32-E72D297353CC}">
              <c16:uniqueId val="{00000009-5B44-4659-BA63-3F6D4740397D}"/>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10m'!$A$49</c:f>
          <c:strCache>
            <c:ptCount val="1"/>
            <c:pt idx="0">
              <c:v>Fishing income per kW day at sea (£)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CB93-4FE7-95E6-D6F25F240C77}"/>
              </c:ext>
            </c:extLst>
          </c:dPt>
          <c:dPt>
            <c:idx val="10"/>
            <c:bubble3D val="0"/>
            <c:spPr>
              <a:ln w="57150">
                <a:solidFill>
                  <a:srgbClr val="648C2E"/>
                </a:solidFill>
                <a:prstDash val="sysDot"/>
              </a:ln>
            </c:spPr>
            <c:extLst>
              <c:ext xmlns:c16="http://schemas.microsoft.com/office/drawing/2014/chart" uri="{C3380CC4-5D6E-409C-BE32-E72D297353CC}">
                <c16:uniqueId val="{00000003-CB93-4FE7-95E6-D6F25F240C77}"/>
              </c:ext>
            </c:extLst>
          </c:dPt>
          <c:cat>
            <c:numRef>
              <c:f>'Low activity under 10m'!$D$2:$N$2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'Low activity under 10m'!$D$22:$N$22</c:f>
              <c:numCache>
                <c:formatCode>#,##0.00</c:formatCode>
                <c:ptCount val="11"/>
                <c:pt idx="0">
                  <c:v>4.9476980285337397</c:v>
                </c:pt>
                <c:pt idx="1">
                  <c:v>5.20208469192821</c:v>
                </c:pt>
                <c:pt idx="2">
                  <c:v>5.0149252770452701</c:v>
                </c:pt>
                <c:pt idx="3">
                  <c:v>4.5483361645184299</c:v>
                </c:pt>
                <c:pt idx="4">
                  <c:v>3.6257514343058301</c:v>
                </c:pt>
                <c:pt idx="5">
                  <c:v>3.4489375219201199</c:v>
                </c:pt>
                <c:pt idx="6">
                  <c:v>4.30764407532872</c:v>
                </c:pt>
                <c:pt idx="7">
                  <c:v>5.5721842833701496</c:v>
                </c:pt>
                <c:pt idx="8">
                  <c:v>5.5524078439614497</c:v>
                </c:pt>
                <c:pt idx="9">
                  <c:v>5.2181331748575897</c:v>
                </c:pt>
                <c:pt idx="10">
                  <c:v>5.0585699322581883</c:v>
                </c:pt>
              </c:numCache>
            </c:numRef>
          </c:val>
          <c:smooth val="0"/>
          <c:extLst>
            <c:ext xmlns:c16="http://schemas.microsoft.com/office/drawing/2014/chart" uri="{C3380CC4-5D6E-409C-BE32-E72D297353CC}">
              <c16:uniqueId val="{00000004-CB93-4FE7-95E6-D6F25F240C77}"/>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10m'!$B$62</c:f>
          <c:strCache>
            <c:ptCount val="1"/>
            <c:pt idx="0">
              <c:v>Total cost per kW day at sea (£)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B1C3-4F19-8D0F-F2FE2A2A214B}"/>
              </c:ext>
            </c:extLst>
          </c:dPt>
          <c:dPt>
            <c:idx val="10"/>
            <c:bubble3D val="0"/>
            <c:spPr>
              <a:ln w="57150">
                <a:solidFill>
                  <a:srgbClr val="087CBB"/>
                </a:solidFill>
                <a:prstDash val="sysDot"/>
              </a:ln>
            </c:spPr>
            <c:extLst>
              <c:ext xmlns:c16="http://schemas.microsoft.com/office/drawing/2014/chart" uri="{C3380CC4-5D6E-409C-BE32-E72D297353CC}">
                <c16:uniqueId val="{00000003-B1C3-4F19-8D0F-F2FE2A2A214B}"/>
              </c:ext>
            </c:extLst>
          </c:dPt>
          <c:cat>
            <c:numRef>
              <c:f>'Low activity under 10m'!$D$2:$N$2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'Low activity under 10m'!$D$23:$N$23</c:f>
              <c:numCache>
                <c:formatCode>#,##0.00</c:formatCode>
                <c:ptCount val="11"/>
                <c:pt idx="0">
                  <c:v>4.5667517618228102</c:v>
                </c:pt>
                <c:pt idx="1">
                  <c:v>4.3531485008565696</c:v>
                </c:pt>
                <c:pt idx="2">
                  <c:v>4.96278027287324</c:v>
                </c:pt>
                <c:pt idx="3">
                  <c:v>5.1660838426577502</c:v>
                </c:pt>
                <c:pt idx="4">
                  <c:v>4.0008869488659702</c:v>
                </c:pt>
                <c:pt idx="5">
                  <c:v>4.2103044666605403</c:v>
                </c:pt>
                <c:pt idx="6">
                  <c:v>4.2886188366317501</c:v>
                </c:pt>
                <c:pt idx="7">
                  <c:v>4.8583944469907498</c:v>
                </c:pt>
                <c:pt idx="8">
                  <c:v>5.5809950822607997</c:v>
                </c:pt>
                <c:pt idx="9">
                  <c:v>6.5975589617040296</c:v>
                </c:pt>
                <c:pt idx="10">
                  <c:v>7.3344866216745315</c:v>
                </c:pt>
              </c:numCache>
            </c:numRef>
          </c:val>
          <c:smooth val="0"/>
          <c:extLst>
            <c:ext xmlns:c16="http://schemas.microsoft.com/office/drawing/2014/chart" uri="{C3380CC4-5D6E-409C-BE32-E72D297353CC}">
              <c16:uniqueId val="{00000004-B1C3-4F19-8D0F-F2FE2A2A214B}"/>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10m'!$K$48</c:f>
          <c:strCache>
            <c:ptCount val="1"/>
            <c:pt idx="0">
              <c:v>Operating profit per kW day at sea (£)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8D72-4FB5-A47C-0812CAE5D3A8}"/>
              </c:ext>
            </c:extLst>
          </c:dPt>
          <c:dPt>
            <c:idx val="10"/>
            <c:bubble3D val="0"/>
            <c:spPr>
              <a:ln w="57150">
                <a:solidFill>
                  <a:schemeClr val="accent3"/>
                </a:solidFill>
                <a:prstDash val="sysDot"/>
              </a:ln>
            </c:spPr>
            <c:extLst>
              <c:ext xmlns:c16="http://schemas.microsoft.com/office/drawing/2014/chart" uri="{C3380CC4-5D6E-409C-BE32-E72D297353CC}">
                <c16:uniqueId val="{00000003-8D72-4FB5-A47C-0812CAE5D3A8}"/>
              </c:ext>
            </c:extLst>
          </c:dPt>
          <c:cat>
            <c:numRef>
              <c:f>'Low activity under 10m'!$D$2:$N$2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'Low activity under 10m'!$D$24:$N$24</c:f>
              <c:numCache>
                <c:formatCode>#,##0.00</c:formatCode>
                <c:ptCount val="11"/>
                <c:pt idx="0">
                  <c:v>0.38895571826790498</c:v>
                </c:pt>
                <c:pt idx="1">
                  <c:v>0.96906527730012204</c:v>
                </c:pt>
                <c:pt idx="2">
                  <c:v>1.10333956513218</c:v>
                </c:pt>
                <c:pt idx="3">
                  <c:v>3.6466026645496301E-2</c:v>
                </c:pt>
                <c:pt idx="4">
                  <c:v>0.72920689448973297</c:v>
                </c:pt>
                <c:pt idx="5">
                  <c:v>-0.54126452220550603</c:v>
                </c:pt>
                <c:pt idx="6">
                  <c:v>0.78883964306553001</c:v>
                </c:pt>
                <c:pt idx="7">
                  <c:v>1.8789623537625</c:v>
                </c:pt>
                <c:pt idx="8">
                  <c:v>0.30711869621540699</c:v>
                </c:pt>
                <c:pt idx="9">
                  <c:v>-0.113498679798356</c:v>
                </c:pt>
                <c:pt idx="10">
                  <c:v>-0.30949714043237769</c:v>
                </c:pt>
              </c:numCache>
            </c:numRef>
          </c:val>
          <c:smooth val="0"/>
          <c:extLst>
            <c:ext xmlns:c16="http://schemas.microsoft.com/office/drawing/2014/chart" uri="{C3380CC4-5D6E-409C-BE32-E72D297353CC}">
              <c16:uniqueId val="{00000004-8D72-4FB5-A47C-0812CAE5D3A8}"/>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10m'!$A$50</c:f>
          <c:strCache>
            <c:ptCount val="1"/>
            <c:pt idx="0">
              <c:v>Average price per tonne landed (£)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44EA-466F-B605-07A4C0F60F91}"/>
              </c:ext>
            </c:extLst>
          </c:dPt>
          <c:dPt>
            <c:idx val="10"/>
            <c:bubble3D val="0"/>
            <c:spPr>
              <a:ln w="57150">
                <a:solidFill>
                  <a:schemeClr val="accent4"/>
                </a:solidFill>
                <a:prstDash val="sysDot"/>
              </a:ln>
            </c:spPr>
            <c:extLst>
              <c:ext xmlns:c16="http://schemas.microsoft.com/office/drawing/2014/chart" uri="{C3380CC4-5D6E-409C-BE32-E72D297353CC}">
                <c16:uniqueId val="{00000003-44EA-466F-B605-07A4C0F60F91}"/>
              </c:ext>
            </c:extLst>
          </c:dPt>
          <c:cat>
            <c:numRef>
              <c:f>'Low activity under 10m'!$D$2:$M$2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'Low activity under 10m'!$D$20:$N$20</c:f>
              <c:numCache>
                <c:formatCode>#,##0</c:formatCode>
                <c:ptCount val="11"/>
                <c:pt idx="0">
                  <c:v>2617</c:v>
                </c:pt>
                <c:pt idx="1">
                  <c:v>2564</c:v>
                </c:pt>
                <c:pt idx="2">
                  <c:v>2970</c:v>
                </c:pt>
                <c:pt idx="3">
                  <c:v>2882</c:v>
                </c:pt>
                <c:pt idx="4">
                  <c:v>2569</c:v>
                </c:pt>
                <c:pt idx="5">
                  <c:v>2702</c:v>
                </c:pt>
                <c:pt idx="6">
                  <c:v>2896</c:v>
                </c:pt>
                <c:pt idx="7">
                  <c:v>3226</c:v>
                </c:pt>
                <c:pt idx="8">
                  <c:v>3256</c:v>
                </c:pt>
                <c:pt idx="9">
                  <c:v>3255</c:v>
                </c:pt>
                <c:pt idx="10">
                  <c:v>2966</c:v>
                </c:pt>
              </c:numCache>
            </c:numRef>
          </c:val>
          <c:smooth val="0"/>
          <c:extLst>
            <c:ext xmlns:c16="http://schemas.microsoft.com/office/drawing/2014/chart" uri="{C3380CC4-5D6E-409C-BE32-E72D297353CC}">
              <c16:uniqueId val="{00000004-44EA-466F-B605-07A4C0F60F91}"/>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10m'!$K$62</c:f>
          <c:strCache>
            <c:ptCount val="1"/>
            <c:pt idx="0">
              <c:v>Average annual operating profit per vessel (£'000)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7160-4107-8B2D-9FEDBCB33A08}"/>
              </c:ext>
            </c:extLst>
          </c:dPt>
          <c:dPt>
            <c:idx val="10"/>
            <c:bubble3D val="0"/>
            <c:spPr>
              <a:ln w="57150">
                <a:solidFill>
                  <a:schemeClr val="accent5"/>
                </a:solidFill>
                <a:prstDash val="sysDot"/>
              </a:ln>
            </c:spPr>
            <c:extLst>
              <c:ext xmlns:c16="http://schemas.microsoft.com/office/drawing/2014/chart" uri="{C3380CC4-5D6E-409C-BE32-E72D297353CC}">
                <c16:uniqueId val="{00000003-7160-4107-8B2D-9FEDBCB33A08}"/>
              </c:ext>
            </c:extLst>
          </c:dPt>
          <c:cat>
            <c:numRef>
              <c:f>'Low activity under 10m'!$D$2:$M$2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'Low activity under 10m'!$D$37:$N$37</c:f>
              <c:numCache>
                <c:formatCode>#,##0.0</c:formatCode>
                <c:ptCount val="11"/>
                <c:pt idx="0">
                  <c:v>0.3</c:v>
                </c:pt>
                <c:pt idx="1">
                  <c:v>0.8</c:v>
                </c:pt>
                <c:pt idx="2">
                  <c:v>0.9</c:v>
                </c:pt>
                <c:pt idx="4">
                  <c:v>0.7</c:v>
                </c:pt>
                <c:pt idx="5">
                  <c:v>-0.6</c:v>
                </c:pt>
                <c:pt idx="6">
                  <c:v>0.7</c:v>
                </c:pt>
                <c:pt idx="7">
                  <c:v>1.2</c:v>
                </c:pt>
                <c:pt idx="8">
                  <c:v>0.2</c:v>
                </c:pt>
                <c:pt idx="9">
                  <c:v>-0.1</c:v>
                </c:pt>
                <c:pt idx="10">
                  <c:v>-0.2</c:v>
                </c:pt>
              </c:numCache>
            </c:numRef>
          </c:val>
          <c:smooth val="0"/>
          <c:extLst>
            <c:ext xmlns:c16="http://schemas.microsoft.com/office/drawing/2014/chart" uri="{C3380CC4-5D6E-409C-BE32-E72D297353CC}">
              <c16:uniqueId val="{00000004-7160-4107-8B2D-9FEDBCB33A08}"/>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under 10m'!$A$76</c:f>
          <c:strCache>
            <c:ptCount val="1"/>
            <c:pt idx="0">
              <c:v>Top 5 landed species by volume in 2019
Low activity under 10m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648C2E"/>
              </a:solidFill>
              <a:ln>
                <a:solidFill>
                  <a:srgbClr val="FFFFFF"/>
                </a:solidFill>
              </a:ln>
            </c:spPr>
            <c:extLst>
              <c:ext xmlns:c16="http://schemas.microsoft.com/office/drawing/2014/chart" uri="{C3380CC4-5D6E-409C-BE32-E72D297353CC}">
                <c16:uniqueId val="{00000001-655E-4617-9611-DF21F119A4D1}"/>
              </c:ext>
            </c:extLst>
          </c:dPt>
          <c:dPt>
            <c:idx val="1"/>
            <c:bubble3D val="0"/>
            <c:spPr>
              <a:solidFill>
                <a:srgbClr val="C1D119"/>
              </a:solidFill>
              <a:ln>
                <a:solidFill>
                  <a:srgbClr val="FFFFFF"/>
                </a:solidFill>
              </a:ln>
            </c:spPr>
            <c:extLst>
              <c:ext xmlns:c16="http://schemas.microsoft.com/office/drawing/2014/chart" uri="{C3380CC4-5D6E-409C-BE32-E72D297353CC}">
                <c16:uniqueId val="{00000003-655E-4617-9611-DF21F119A4D1}"/>
              </c:ext>
            </c:extLst>
          </c:dPt>
          <c:dPt>
            <c:idx val="2"/>
            <c:bubble3D val="0"/>
            <c:spPr>
              <a:solidFill>
                <a:srgbClr val="2273B9"/>
              </a:solidFill>
              <a:ln>
                <a:solidFill>
                  <a:srgbClr val="FFFFFF"/>
                </a:solidFill>
              </a:ln>
            </c:spPr>
            <c:extLst>
              <c:ext xmlns:c16="http://schemas.microsoft.com/office/drawing/2014/chart" uri="{C3380CC4-5D6E-409C-BE32-E72D297353CC}">
                <c16:uniqueId val="{00000005-655E-4617-9611-DF21F119A4D1}"/>
              </c:ext>
            </c:extLst>
          </c:dPt>
          <c:dPt>
            <c:idx val="3"/>
            <c:bubble3D val="0"/>
            <c:spPr>
              <a:solidFill>
                <a:srgbClr val="E84A38"/>
              </a:solidFill>
              <a:ln>
                <a:solidFill>
                  <a:srgbClr val="FFFFFF"/>
                </a:solidFill>
              </a:ln>
            </c:spPr>
            <c:extLst>
              <c:ext xmlns:c16="http://schemas.microsoft.com/office/drawing/2014/chart" uri="{C3380CC4-5D6E-409C-BE32-E72D297353CC}">
                <c16:uniqueId val="{00000007-655E-4617-9611-DF21F119A4D1}"/>
              </c:ext>
            </c:extLst>
          </c:dPt>
          <c:dPt>
            <c:idx val="4"/>
            <c:bubble3D val="0"/>
            <c:spPr>
              <a:solidFill>
                <a:srgbClr val="0F9AA9"/>
              </a:solidFill>
              <a:ln>
                <a:solidFill>
                  <a:srgbClr val="FFFFFF"/>
                </a:solidFill>
              </a:ln>
            </c:spPr>
            <c:extLst>
              <c:ext xmlns:c16="http://schemas.microsoft.com/office/drawing/2014/chart" uri="{C3380CC4-5D6E-409C-BE32-E72D297353CC}">
                <c16:uniqueId val="{00000009-655E-4617-9611-DF21F119A4D1}"/>
              </c:ext>
            </c:extLst>
          </c:dPt>
          <c:dPt>
            <c:idx val="5"/>
            <c:bubble3D val="0"/>
            <c:spPr>
              <a:solidFill>
                <a:srgbClr val="55585A"/>
              </a:solidFill>
              <a:ln>
                <a:solidFill>
                  <a:srgbClr val="FFFFFF"/>
                </a:solidFill>
              </a:ln>
            </c:spPr>
            <c:extLst>
              <c:ext xmlns:c16="http://schemas.microsoft.com/office/drawing/2014/chart" uri="{C3380CC4-5D6E-409C-BE32-E72D297353CC}">
                <c16:uniqueId val="{0000000B-655E-4617-9611-DF21F119A4D1}"/>
              </c:ext>
            </c:extLst>
          </c:dPt>
          <c:cat>
            <c:strRef>
              <c:f>'Low activity under 10m'!$B$77:$B$82</c:f>
              <c:strCache>
                <c:ptCount val="6"/>
                <c:pt idx="0">
                  <c:v>Mackerel - 26.0%</c:v>
                </c:pt>
                <c:pt idx="1">
                  <c:v>Brown Crab - 9.4%</c:v>
                </c:pt>
                <c:pt idx="2">
                  <c:v>Lobsters - 7.8%</c:v>
                </c:pt>
                <c:pt idx="3">
                  <c:v>Velvet Crab - 7.4%</c:v>
                </c:pt>
                <c:pt idx="4">
                  <c:v>Thornback Ray - 5.6%</c:v>
                </c:pt>
                <c:pt idx="5">
                  <c:v>Others - 43.7%</c:v>
                </c:pt>
              </c:strCache>
            </c:strRef>
          </c:cat>
          <c:val>
            <c:numRef>
              <c:f>'Low activity under 10m'!$C$77:$C$82</c:f>
              <c:numCache>
                <c:formatCode>0.0%</c:formatCode>
                <c:ptCount val="6"/>
                <c:pt idx="0">
                  <c:v>0.26033598881504882</c:v>
                </c:pt>
                <c:pt idx="1">
                  <c:v>9.3874420381808696E-2</c:v>
                </c:pt>
                <c:pt idx="2">
                  <c:v>7.8496267090279348E-2</c:v>
                </c:pt>
                <c:pt idx="3">
                  <c:v>7.3885968294321119E-2</c:v>
                </c:pt>
                <c:pt idx="4">
                  <c:v>5.6381839517749041E-2</c:v>
                </c:pt>
                <c:pt idx="5">
                  <c:v>0.43702551590079297</c:v>
                </c:pt>
              </c:numCache>
            </c:numRef>
          </c:val>
          <c:extLst>
            <c:ext xmlns:c16="http://schemas.microsoft.com/office/drawing/2014/chart" uri="{C3380CC4-5D6E-409C-BE32-E72D297353CC}">
              <c16:uniqueId val="{0000000C-655E-4617-9611-DF21F119A4D1}"/>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under 10m'!$F$76</c:f>
          <c:strCache>
            <c:ptCount val="1"/>
            <c:pt idx="0">
              <c:v>Top 5 landed species by value in 2019
Low activity under 10m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573C-44F7-8B1F-5B204C52DAF7}"/>
              </c:ext>
            </c:extLst>
          </c:dPt>
          <c:dPt>
            <c:idx val="1"/>
            <c:bubble3D val="0"/>
            <c:spPr>
              <a:solidFill>
                <a:srgbClr val="E87308"/>
              </a:solidFill>
              <a:ln>
                <a:solidFill>
                  <a:srgbClr val="FFFFFF"/>
                </a:solidFill>
              </a:ln>
            </c:spPr>
            <c:extLst>
              <c:ext xmlns:c16="http://schemas.microsoft.com/office/drawing/2014/chart" uri="{C3380CC4-5D6E-409C-BE32-E72D297353CC}">
                <c16:uniqueId val="{00000003-573C-44F7-8B1F-5B204C52DAF7}"/>
              </c:ext>
            </c:extLst>
          </c:dPt>
          <c:dPt>
            <c:idx val="2"/>
            <c:bubble3D val="0"/>
            <c:spPr>
              <a:solidFill>
                <a:srgbClr val="648C2E"/>
              </a:solidFill>
              <a:ln>
                <a:solidFill>
                  <a:srgbClr val="FFFFFF"/>
                </a:solidFill>
              </a:ln>
            </c:spPr>
            <c:extLst>
              <c:ext xmlns:c16="http://schemas.microsoft.com/office/drawing/2014/chart" uri="{C3380CC4-5D6E-409C-BE32-E72D297353CC}">
                <c16:uniqueId val="{00000005-573C-44F7-8B1F-5B204C52DAF7}"/>
              </c:ext>
            </c:extLst>
          </c:dPt>
          <c:dPt>
            <c:idx val="3"/>
            <c:bubble3D val="0"/>
            <c:spPr>
              <a:solidFill>
                <a:srgbClr val="C1D119"/>
              </a:solidFill>
              <a:ln>
                <a:solidFill>
                  <a:srgbClr val="FFFFFF"/>
                </a:solidFill>
              </a:ln>
            </c:spPr>
            <c:extLst>
              <c:ext xmlns:c16="http://schemas.microsoft.com/office/drawing/2014/chart" uri="{C3380CC4-5D6E-409C-BE32-E72D297353CC}">
                <c16:uniqueId val="{00000007-573C-44F7-8B1F-5B204C52DAF7}"/>
              </c:ext>
            </c:extLst>
          </c:dPt>
          <c:dPt>
            <c:idx val="4"/>
            <c:bubble3D val="0"/>
            <c:spPr>
              <a:solidFill>
                <a:srgbClr val="E84A38"/>
              </a:solidFill>
              <a:ln>
                <a:solidFill>
                  <a:srgbClr val="FFFFFF"/>
                </a:solidFill>
              </a:ln>
            </c:spPr>
            <c:extLst>
              <c:ext xmlns:c16="http://schemas.microsoft.com/office/drawing/2014/chart" uri="{C3380CC4-5D6E-409C-BE32-E72D297353CC}">
                <c16:uniqueId val="{00000009-573C-44F7-8B1F-5B204C52DAF7}"/>
              </c:ext>
            </c:extLst>
          </c:dPt>
          <c:dPt>
            <c:idx val="5"/>
            <c:bubble3D val="0"/>
            <c:spPr>
              <a:solidFill>
                <a:srgbClr val="55585A"/>
              </a:solidFill>
              <a:ln>
                <a:solidFill>
                  <a:srgbClr val="FFFFFF"/>
                </a:solidFill>
              </a:ln>
            </c:spPr>
            <c:extLst>
              <c:ext xmlns:c16="http://schemas.microsoft.com/office/drawing/2014/chart" uri="{C3380CC4-5D6E-409C-BE32-E72D297353CC}">
                <c16:uniqueId val="{0000000B-573C-44F7-8B1F-5B204C52DAF7}"/>
              </c:ext>
            </c:extLst>
          </c:dPt>
          <c:cat>
            <c:strRef>
              <c:f>'Low activity under 10m'!$G$77:$G$82</c:f>
              <c:strCache>
                <c:ptCount val="6"/>
                <c:pt idx="0">
                  <c:v>Lobsters - 32.8%</c:v>
                </c:pt>
                <c:pt idx="1">
                  <c:v>Bass - 13.0%</c:v>
                </c:pt>
                <c:pt idx="2">
                  <c:v>Mackerel - 11.9%</c:v>
                </c:pt>
                <c:pt idx="3">
                  <c:v>Brown Crab - 6.7%</c:v>
                </c:pt>
                <c:pt idx="4">
                  <c:v>Velvet Crab - 6.1%</c:v>
                </c:pt>
                <c:pt idx="5">
                  <c:v>Others - 29.5%</c:v>
                </c:pt>
              </c:strCache>
            </c:strRef>
          </c:cat>
          <c:val>
            <c:numRef>
              <c:f>'Low activity under 10m'!$H$77:$H$82</c:f>
              <c:numCache>
                <c:formatCode>0.0%</c:formatCode>
                <c:ptCount val="6"/>
                <c:pt idx="0">
                  <c:v>0.32783031884293468</c:v>
                </c:pt>
                <c:pt idx="1">
                  <c:v>0.13047167552569447</c:v>
                </c:pt>
                <c:pt idx="2">
                  <c:v>0.11943337151455317</c:v>
                </c:pt>
                <c:pt idx="3">
                  <c:v>6.6659850057158992E-2</c:v>
                </c:pt>
                <c:pt idx="4">
                  <c:v>6.0666516690999248E-2</c:v>
                </c:pt>
                <c:pt idx="5">
                  <c:v>0.29493826736865947</c:v>
                </c:pt>
              </c:numCache>
            </c:numRef>
          </c:val>
          <c:extLst>
            <c:ext xmlns:c16="http://schemas.microsoft.com/office/drawing/2014/chart" uri="{C3380CC4-5D6E-409C-BE32-E72D297353CC}">
              <c16:uniqueId val="{0000000C-573C-44F7-8B1F-5B204C52DAF7}"/>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under 10m'!$K$77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'Low activity under 10m'!$C$92</c:f>
              <c:strCache>
                <c:ptCount val="1"/>
                <c:pt idx="0">
                  <c:v>Lobsters</c:v>
                </c:pt>
              </c:strCache>
            </c:strRef>
          </c:tx>
          <c:spPr>
            <a:solidFill>
              <a:srgbClr val="2273B9"/>
            </a:solidFill>
            <a:ln>
              <a:solidFill>
                <a:srgbClr val="FFFFFF"/>
              </a:solidFill>
            </a:ln>
          </c:spPr>
          <c:invertIfNegative val="0"/>
          <c:cat>
            <c:numRef>
              <c:f>'Low activity under 10m'!$D$91:$M$91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'Low activity under 10m'!$D$92:$M$92</c:f>
              <c:numCache>
                <c:formatCode>0%</c:formatCode>
                <c:ptCount val="10"/>
                <c:pt idx="0">
                  <c:v>0.29962618071940528</c:v>
                </c:pt>
                <c:pt idx="1">
                  <c:v>0.29335423477899963</c:v>
                </c:pt>
                <c:pt idx="2">
                  <c:v>0.29343326881468784</c:v>
                </c:pt>
                <c:pt idx="3">
                  <c:v>0.32215767914698457</c:v>
                </c:pt>
                <c:pt idx="4">
                  <c:v>0.31564677347995279</c:v>
                </c:pt>
                <c:pt idx="5">
                  <c:v>0.32300237406892501</c:v>
                </c:pt>
                <c:pt idx="6">
                  <c:v>0.32044162452095221</c:v>
                </c:pt>
                <c:pt idx="7">
                  <c:v>0.30351205995581892</c:v>
                </c:pt>
                <c:pt idx="8">
                  <c:v>0.32783031884293468</c:v>
                </c:pt>
                <c:pt idx="9">
                  <c:v>0.33822133492137685</c:v>
                </c:pt>
              </c:numCache>
            </c:numRef>
          </c:val>
          <c:extLst>
            <c:ext xmlns:c16="http://schemas.microsoft.com/office/drawing/2014/chart" uri="{C3380CC4-5D6E-409C-BE32-E72D297353CC}">
              <c16:uniqueId val="{00000000-CECE-48C7-884A-17957EA555B1}"/>
            </c:ext>
          </c:extLst>
        </c:ser>
        <c:ser>
          <c:idx val="1"/>
          <c:order val="1"/>
          <c:tx>
            <c:strRef>
              <c:f>'Low activity under 10m'!$C$93</c:f>
              <c:strCache>
                <c:ptCount val="1"/>
                <c:pt idx="0">
                  <c:v>Bass</c:v>
                </c:pt>
              </c:strCache>
            </c:strRef>
          </c:tx>
          <c:spPr>
            <a:solidFill>
              <a:srgbClr val="E87308"/>
            </a:solidFill>
            <a:ln>
              <a:solidFill>
                <a:srgbClr val="FFFFFF"/>
              </a:solidFill>
            </a:ln>
          </c:spPr>
          <c:invertIfNegative val="0"/>
          <c:cat>
            <c:numRef>
              <c:f>'Low activity under 10m'!$D$91:$M$91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'Low activity under 10m'!$D$93:$M$93</c:f>
              <c:numCache>
                <c:formatCode>0%</c:formatCode>
                <c:ptCount val="10"/>
                <c:pt idx="0">
                  <c:v>0.11203893159737749</c:v>
                </c:pt>
                <c:pt idx="1">
                  <c:v>0.12774673914166076</c:v>
                </c:pt>
                <c:pt idx="2">
                  <c:v>0.1330212865917296</c:v>
                </c:pt>
                <c:pt idx="3">
                  <c:v>0.14574882516785168</c:v>
                </c:pt>
                <c:pt idx="4">
                  <c:v>0.11659362208693586</c:v>
                </c:pt>
                <c:pt idx="5">
                  <c:v>0.11974627835451782</c:v>
                </c:pt>
                <c:pt idx="6">
                  <c:v>0.13409781009003854</c:v>
                </c:pt>
                <c:pt idx="7">
                  <c:v>0.13512982286896116</c:v>
                </c:pt>
                <c:pt idx="8">
                  <c:v>0.13047167552569447</c:v>
                </c:pt>
                <c:pt idx="9">
                  <c:v>0.1652846840505971</c:v>
                </c:pt>
              </c:numCache>
            </c:numRef>
          </c:val>
          <c:extLst>
            <c:ext xmlns:c16="http://schemas.microsoft.com/office/drawing/2014/chart" uri="{C3380CC4-5D6E-409C-BE32-E72D297353CC}">
              <c16:uniqueId val="{00000001-CECE-48C7-884A-17957EA555B1}"/>
            </c:ext>
          </c:extLst>
        </c:ser>
        <c:ser>
          <c:idx val="2"/>
          <c:order val="2"/>
          <c:tx>
            <c:strRef>
              <c:f>'Low activity under 10m'!$C$94</c:f>
              <c:strCache>
                <c:ptCount val="1"/>
                <c:pt idx="0">
                  <c:v>Mackerel</c:v>
                </c:pt>
              </c:strCache>
            </c:strRef>
          </c:tx>
          <c:spPr>
            <a:solidFill>
              <a:srgbClr val="648C2E"/>
            </a:solidFill>
            <a:ln>
              <a:solidFill>
                <a:srgbClr val="FFFFFF"/>
              </a:solidFill>
            </a:ln>
          </c:spPr>
          <c:invertIfNegative val="0"/>
          <c:cat>
            <c:numRef>
              <c:f>'Low activity under 10m'!$D$91:$M$91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'Low activity under 10m'!$D$94:$M$94</c:f>
              <c:numCache>
                <c:formatCode>0%</c:formatCode>
                <c:ptCount val="10"/>
                <c:pt idx="0">
                  <c:v>0.10954177073388029</c:v>
                </c:pt>
                <c:pt idx="1">
                  <c:v>9.7310143062375426E-2</c:v>
                </c:pt>
                <c:pt idx="2">
                  <c:v>9.0618405339778996E-2</c:v>
                </c:pt>
                <c:pt idx="3">
                  <c:v>8.0525130189593175E-2</c:v>
                </c:pt>
                <c:pt idx="4">
                  <c:v>0.11712173932620713</c:v>
                </c:pt>
                <c:pt idx="5">
                  <c:v>9.9230238912155877E-2</c:v>
                </c:pt>
                <c:pt idx="6">
                  <c:v>9.8840598300084612E-2</c:v>
                </c:pt>
                <c:pt idx="7">
                  <c:v>0.12223883926264134</c:v>
                </c:pt>
                <c:pt idx="8">
                  <c:v>0.11943337151455317</c:v>
                </c:pt>
                <c:pt idx="9">
                  <c:v>0.1039353947362008</c:v>
                </c:pt>
              </c:numCache>
            </c:numRef>
          </c:val>
          <c:extLst>
            <c:ext xmlns:c16="http://schemas.microsoft.com/office/drawing/2014/chart" uri="{C3380CC4-5D6E-409C-BE32-E72D297353CC}">
              <c16:uniqueId val="{00000002-CECE-48C7-884A-17957EA555B1}"/>
            </c:ext>
          </c:extLst>
        </c:ser>
        <c:ser>
          <c:idx val="3"/>
          <c:order val="3"/>
          <c:tx>
            <c:strRef>
              <c:f>'Low activity under 10m'!$C$95</c:f>
              <c:strCache>
                <c:ptCount val="1"/>
                <c:pt idx="0">
                  <c:v>Brown Crab</c:v>
                </c:pt>
              </c:strCache>
            </c:strRef>
          </c:tx>
          <c:spPr>
            <a:solidFill>
              <a:srgbClr val="C1D119"/>
            </a:solidFill>
            <a:ln>
              <a:solidFill>
                <a:srgbClr val="FFFFFF"/>
              </a:solidFill>
            </a:ln>
          </c:spPr>
          <c:invertIfNegative val="0"/>
          <c:cat>
            <c:numRef>
              <c:f>'Low activity under 10m'!$D$91:$M$91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'Low activity under 10m'!$D$95:$M$95</c:f>
              <c:numCache>
                <c:formatCode>0%</c:formatCode>
                <c:ptCount val="10"/>
                <c:pt idx="1">
                  <c:v>6.3292195628568929E-2</c:v>
                </c:pt>
                <c:pt idx="2">
                  <c:v>8.3152634855401447E-2</c:v>
                </c:pt>
                <c:pt idx="3">
                  <c:v>6.9446667693875613E-2</c:v>
                </c:pt>
                <c:pt idx="4">
                  <c:v>6.8175251827823274E-2</c:v>
                </c:pt>
                <c:pt idx="6">
                  <c:v>6.0913956944730507E-2</c:v>
                </c:pt>
                <c:pt idx="7">
                  <c:v>6.6829999046513988E-2</c:v>
                </c:pt>
                <c:pt idx="8">
                  <c:v>6.6659850057158992E-2</c:v>
                </c:pt>
                <c:pt idx="9">
                  <c:v>5.8390936215896194E-2</c:v>
                </c:pt>
              </c:numCache>
            </c:numRef>
          </c:val>
          <c:extLst>
            <c:ext xmlns:c16="http://schemas.microsoft.com/office/drawing/2014/chart" uri="{C3380CC4-5D6E-409C-BE32-E72D297353CC}">
              <c16:uniqueId val="{00000003-CECE-48C7-884A-17957EA555B1}"/>
            </c:ext>
          </c:extLst>
        </c:ser>
        <c:ser>
          <c:idx val="4"/>
          <c:order val="4"/>
          <c:tx>
            <c:strRef>
              <c:f>'Low activity under 10m'!$C$96</c:f>
              <c:strCache>
                <c:ptCount val="1"/>
                <c:pt idx="0">
                  <c:v>Velvet Crab</c:v>
                </c:pt>
              </c:strCache>
            </c:strRef>
          </c:tx>
          <c:spPr>
            <a:solidFill>
              <a:srgbClr val="E84A38"/>
            </a:solidFill>
            <a:ln>
              <a:solidFill>
                <a:srgbClr val="FFFFFF"/>
              </a:solidFill>
            </a:ln>
          </c:spPr>
          <c:invertIfNegative val="0"/>
          <c:cat>
            <c:numRef>
              <c:f>'Low activity under 10m'!$D$91:$M$91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'Low activity under 10m'!$D$96:$M$96</c:f>
              <c:numCache>
                <c:formatCode>0%</c:formatCode>
                <c:ptCount val="10"/>
                <c:pt idx="0">
                  <c:v>7.7844140472798598E-2</c:v>
                </c:pt>
                <c:pt idx="2">
                  <c:v>6.7196007709255934E-2</c:v>
                </c:pt>
                <c:pt idx="3">
                  <c:v>6.1977925029117517E-2</c:v>
                </c:pt>
                <c:pt idx="5">
                  <c:v>6.4297131228540291E-2</c:v>
                </c:pt>
                <c:pt idx="7">
                  <c:v>5.5254502516497869E-2</c:v>
                </c:pt>
                <c:pt idx="8">
                  <c:v>6.0666516690999248E-2</c:v>
                </c:pt>
                <c:pt idx="9">
                  <c:v>6.4158060840938266E-2</c:v>
                </c:pt>
              </c:numCache>
            </c:numRef>
          </c:val>
          <c:extLst>
            <c:ext xmlns:c16="http://schemas.microsoft.com/office/drawing/2014/chart" uri="{C3380CC4-5D6E-409C-BE32-E72D297353CC}">
              <c16:uniqueId val="{00000004-CECE-48C7-884A-17957EA555B1}"/>
            </c:ext>
          </c:extLst>
        </c:ser>
        <c:ser>
          <c:idx val="5"/>
          <c:order val="5"/>
          <c:tx>
            <c:strRef>
              <c:f>'Low activity under 10m'!$C$97</c:f>
              <c:strCache>
                <c:ptCount val="1"/>
                <c:pt idx="0">
                  <c:v>Sole</c:v>
                </c:pt>
              </c:strCache>
            </c:strRef>
          </c:tx>
          <c:spPr>
            <a:solidFill>
              <a:srgbClr val="0F9AA9"/>
            </a:solidFill>
            <a:ln>
              <a:solidFill>
                <a:srgbClr val="FFFFFF"/>
              </a:solidFill>
            </a:ln>
          </c:spPr>
          <c:invertIfNegative val="0"/>
          <c:cat>
            <c:numRef>
              <c:f>'Low activity under 10m'!$D$91:$M$91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'Low activity under 10m'!$D$97:$M$97</c:f>
              <c:numCache>
                <c:formatCode>0%</c:formatCode>
                <c:ptCount val="10"/>
                <c:pt idx="0">
                  <c:v>6.874402743282533E-2</c:v>
                </c:pt>
                <c:pt idx="1">
                  <c:v>6.3859940022927927E-2</c:v>
                </c:pt>
                <c:pt idx="4">
                  <c:v>5.9652013408147721E-2</c:v>
                </c:pt>
                <c:pt idx="5">
                  <c:v>6.0061046148234445E-2</c:v>
                </c:pt>
                <c:pt idx="6">
                  <c:v>5.6541406390713041E-2</c:v>
                </c:pt>
              </c:numCache>
            </c:numRef>
          </c:val>
          <c:extLst>
            <c:ext xmlns:c16="http://schemas.microsoft.com/office/drawing/2014/chart" uri="{C3380CC4-5D6E-409C-BE32-E72D297353CC}">
              <c16:uniqueId val="{00000005-CECE-48C7-884A-17957EA555B1}"/>
            </c:ext>
          </c:extLst>
        </c:ser>
        <c:ser>
          <c:idx val="6"/>
          <c:order val="6"/>
          <c:tx>
            <c:strRef>
              <c:f>'Low activity under 10m'!$C$98</c:f>
              <c:strCache>
                <c:ptCount val="1"/>
                <c:pt idx="0">
                  <c:v>Others</c:v>
                </c:pt>
              </c:strCache>
            </c:strRef>
          </c:tx>
          <c:spPr>
            <a:solidFill>
              <a:srgbClr val="55585A"/>
            </a:solidFill>
            <a:ln>
              <a:solidFill>
                <a:srgbClr val="FFFFFF"/>
              </a:solidFill>
            </a:ln>
          </c:spPr>
          <c:invertIfNegative val="0"/>
          <c:cat>
            <c:numRef>
              <c:f>'Low activity under 10m'!$D$91:$M$91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'Low activity under 10m'!$D$98:$M$98</c:f>
              <c:numCache>
                <c:formatCode>0%</c:formatCode>
                <c:ptCount val="10"/>
                <c:pt idx="0">
                  <c:v>0.332204949043713</c:v>
                </c:pt>
                <c:pt idx="1">
                  <c:v>0.35443674736546732</c:v>
                </c:pt>
                <c:pt idx="2">
                  <c:v>0.33257839668914613</c:v>
                </c:pt>
                <c:pt idx="3">
                  <c:v>0.32014377277257744</c:v>
                </c:pt>
                <c:pt idx="4">
                  <c:v>0.32281059987093325</c:v>
                </c:pt>
                <c:pt idx="5">
                  <c:v>0.33366293128762659</c:v>
                </c:pt>
                <c:pt idx="6">
                  <c:v>0.32916460375348106</c:v>
                </c:pt>
                <c:pt idx="7">
                  <c:v>0.31703477634956673</c:v>
                </c:pt>
                <c:pt idx="8">
                  <c:v>0.29493826736865947</c:v>
                </c:pt>
                <c:pt idx="9">
                  <c:v>0.2700095892349908</c:v>
                </c:pt>
              </c:numCache>
            </c:numRef>
          </c:val>
          <c:extLst>
            <c:ext xmlns:c16="http://schemas.microsoft.com/office/drawing/2014/chart" uri="{C3380CC4-5D6E-409C-BE32-E72D297353CC}">
              <c16:uniqueId val="{00000006-CECE-48C7-884A-17957EA555B1}"/>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'Low activity under 10m'!$B$162</c:f>
              <c:strCache>
                <c:ptCount val="1"/>
                <c:pt idx="0">
                  <c:v>Mackerel</c:v>
                </c:pt>
              </c:strCache>
            </c:strRef>
          </c:tx>
          <c:spPr>
            <a:solidFill>
              <a:srgbClr val="648C2E"/>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10m'!$C$162:$E$162</c:f>
              <c:numCache>
                <c:formatCode>0%</c:formatCode>
                <c:ptCount val="3"/>
                <c:pt idx="0">
                  <c:v>0.38684457727416205</c:v>
                </c:pt>
                <c:pt idx="1">
                  <c:v>0.32384871261724207</c:v>
                </c:pt>
                <c:pt idx="2">
                  <c:v>0.13718615296433792</c:v>
                </c:pt>
              </c:numCache>
            </c:numRef>
          </c:val>
          <c:extLst>
            <c:ext xmlns:c16="http://schemas.microsoft.com/office/drawing/2014/chart" uri="{C3380CC4-5D6E-409C-BE32-E72D297353CC}">
              <c16:uniqueId val="{00000000-E09C-4240-B985-6B62AC667002}"/>
            </c:ext>
          </c:extLst>
        </c:ser>
        <c:ser>
          <c:idx val="1"/>
          <c:order val="1"/>
          <c:tx>
            <c:strRef>
              <c:f>'Low activity under 10m'!$B$163</c:f>
              <c:strCache>
                <c:ptCount val="1"/>
                <c:pt idx="0">
                  <c:v>Brown Crab</c:v>
                </c:pt>
              </c:strCache>
            </c:strRef>
          </c:tx>
          <c:spPr>
            <a:solidFill>
              <a:srgbClr val="C1D119"/>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10m'!$C$163:$E$163</c:f>
              <c:numCache>
                <c:formatCode>0%</c:formatCode>
                <c:ptCount val="3"/>
                <c:pt idx="0">
                  <c:v>9.0200640470747523E-2</c:v>
                </c:pt>
                <c:pt idx="1">
                  <c:v>0.12509209351019235</c:v>
                </c:pt>
                <c:pt idx="2">
                  <c:v>0.10793894917474449</c:v>
                </c:pt>
              </c:numCache>
            </c:numRef>
          </c:val>
          <c:extLst>
            <c:ext xmlns:c16="http://schemas.microsoft.com/office/drawing/2014/chart" uri="{C3380CC4-5D6E-409C-BE32-E72D297353CC}">
              <c16:uniqueId val="{00000001-E09C-4240-B985-6B62AC667002}"/>
            </c:ext>
          </c:extLst>
        </c:ser>
        <c:ser>
          <c:idx val="2"/>
          <c:order val="2"/>
          <c:tx>
            <c:strRef>
              <c:f>'Low activity under 10m'!$B$164</c:f>
              <c:strCache>
                <c:ptCount val="1"/>
                <c:pt idx="0">
                  <c:v>Velvet Crab</c:v>
                </c:pt>
              </c:strCache>
            </c:strRef>
          </c:tx>
          <c:spPr>
            <a:solidFill>
              <a:srgbClr val="E84A38"/>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10m'!$C$164:$E$164</c:f>
              <c:numCache>
                <c:formatCode>0%</c:formatCode>
                <c:ptCount val="3"/>
                <c:pt idx="0">
                  <c:v>8.4282536527729504E-2</c:v>
                </c:pt>
                <c:pt idx="1">
                  <c:v>0.10355392870662121</c:v>
                </c:pt>
                <c:pt idx="2">
                  <c:v>0</c:v>
                </c:pt>
              </c:numCache>
            </c:numRef>
          </c:val>
          <c:extLst>
            <c:ext xmlns:c16="http://schemas.microsoft.com/office/drawing/2014/chart" uri="{C3380CC4-5D6E-409C-BE32-E72D297353CC}">
              <c16:uniqueId val="{00000002-E09C-4240-B985-6B62AC667002}"/>
            </c:ext>
          </c:extLst>
        </c:ser>
        <c:ser>
          <c:idx val="3"/>
          <c:order val="3"/>
          <c:tx>
            <c:strRef>
              <c:f>'Low activity under 10m'!$B$165</c:f>
              <c:strCache>
                <c:ptCount val="1"/>
                <c:pt idx="0">
                  <c:v>Lobsters</c:v>
                </c:pt>
              </c:strCache>
            </c:strRef>
          </c:tx>
          <c:spPr>
            <a:solidFill>
              <a:srgbClr val="2273B9"/>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10m'!$C$165:$E$165</c:f>
              <c:numCache>
                <c:formatCode>0%</c:formatCode>
                <c:ptCount val="3"/>
                <c:pt idx="0">
                  <c:v>0.10674171483714499</c:v>
                </c:pt>
                <c:pt idx="1">
                  <c:v>0.10023102344572106</c:v>
                </c:pt>
                <c:pt idx="2">
                  <c:v>0</c:v>
                </c:pt>
              </c:numCache>
            </c:numRef>
          </c:val>
          <c:extLst>
            <c:ext xmlns:c16="http://schemas.microsoft.com/office/drawing/2014/chart" uri="{C3380CC4-5D6E-409C-BE32-E72D297353CC}">
              <c16:uniqueId val="{00000003-E09C-4240-B985-6B62AC667002}"/>
            </c:ext>
          </c:extLst>
        </c:ser>
        <c:ser>
          <c:idx val="4"/>
          <c:order val="4"/>
          <c:tx>
            <c:strRef>
              <c:f>'Low activity under 10m'!$B$166</c:f>
              <c:strCache>
                <c:ptCount val="1"/>
                <c:pt idx="0">
                  <c:v>Thornback Ray</c:v>
                </c:pt>
              </c:strCache>
            </c:strRef>
          </c:tx>
          <c:spPr>
            <a:solidFill>
              <a:srgbClr val="0F9AA9"/>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10m'!$C$166:$E$166</c:f>
              <c:numCache>
                <c:formatCode>0%</c:formatCode>
                <c:ptCount val="3"/>
                <c:pt idx="0">
                  <c:v>0</c:v>
                </c:pt>
                <c:pt idx="1">
                  <c:v>8.5601360748435565E-2</c:v>
                </c:pt>
                <c:pt idx="2">
                  <c:v>8.8518445159705486E-2</c:v>
                </c:pt>
              </c:numCache>
            </c:numRef>
          </c:val>
          <c:extLst>
            <c:ext xmlns:c16="http://schemas.microsoft.com/office/drawing/2014/chart" uri="{C3380CC4-5D6E-409C-BE32-E72D297353CC}">
              <c16:uniqueId val="{00000004-E09C-4240-B985-6B62AC667002}"/>
            </c:ext>
          </c:extLst>
        </c:ser>
        <c:ser>
          <c:idx val="5"/>
          <c:order val="5"/>
          <c:tx>
            <c:strRef>
              <c:f>'Low activity under 10m'!$B$167</c:f>
              <c:strCache>
                <c:ptCount val="1"/>
                <c:pt idx="0">
                  <c:v>Nephrops</c:v>
                </c:pt>
              </c:strCache>
            </c:strRef>
          </c:tx>
          <c:spPr>
            <a:solidFill>
              <a:srgbClr val="FED825"/>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10m'!$C$167:$E$167</c:f>
              <c:numCache>
                <c:formatCode>0%</c:formatCode>
                <c:ptCount val="3"/>
                <c:pt idx="0">
                  <c:v>0</c:v>
                </c:pt>
                <c:pt idx="1">
                  <c:v>0</c:v>
                </c:pt>
                <c:pt idx="2">
                  <c:v>8.1728215486733299E-2</c:v>
                </c:pt>
              </c:numCache>
            </c:numRef>
          </c:val>
          <c:extLst>
            <c:ext xmlns:c16="http://schemas.microsoft.com/office/drawing/2014/chart" uri="{C3380CC4-5D6E-409C-BE32-E72D297353CC}">
              <c16:uniqueId val="{00000005-E09C-4240-B985-6B62AC667002}"/>
            </c:ext>
          </c:extLst>
        </c:ser>
        <c:ser>
          <c:idx val="6"/>
          <c:order val="6"/>
          <c:tx>
            <c:strRef>
              <c:f>'Low activity under 10m'!$B$168</c:f>
              <c:strCache>
                <c:ptCount val="1"/>
                <c:pt idx="0">
                  <c:v>Plaice</c:v>
                </c:pt>
              </c:strCache>
            </c:strRef>
          </c:tx>
          <c:spPr>
            <a:solidFill>
              <a:srgbClr val="707271"/>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10m'!$C$168:$E$168</c:f>
              <c:numCache>
                <c:formatCode>0%</c:formatCode>
                <c:ptCount val="3"/>
                <c:pt idx="0">
                  <c:v>0</c:v>
                </c:pt>
                <c:pt idx="1">
                  <c:v>0</c:v>
                </c:pt>
                <c:pt idx="2">
                  <c:v>6.6498512224936288E-2</c:v>
                </c:pt>
              </c:numCache>
            </c:numRef>
          </c:val>
          <c:extLst>
            <c:ext xmlns:c16="http://schemas.microsoft.com/office/drawing/2014/chart" uri="{C3380CC4-5D6E-409C-BE32-E72D297353CC}">
              <c16:uniqueId val="{00000006-E09C-4240-B985-6B62AC667002}"/>
            </c:ext>
          </c:extLst>
        </c:ser>
        <c:ser>
          <c:idx val="7"/>
          <c:order val="7"/>
          <c:tx>
            <c:strRef>
              <c:f>'Low activity under 10m'!$B$169</c:f>
              <c:strCache>
                <c:ptCount val="1"/>
                <c:pt idx="0">
                  <c:v>Bass</c:v>
                </c:pt>
              </c:strCache>
            </c:strRef>
          </c:tx>
          <c:spPr>
            <a:solidFill>
              <a:srgbClr val="E87308"/>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10m'!$C$169:$E$169</c:f>
              <c:numCache>
                <c:formatCode>0%</c:formatCode>
                <c:ptCount val="3"/>
                <c:pt idx="0">
                  <c:v>5.4999151769155805E-2</c:v>
                </c:pt>
                <c:pt idx="1">
                  <c:v>0</c:v>
                </c:pt>
                <c:pt idx="2">
                  <c:v>0</c:v>
                </c:pt>
              </c:numCache>
            </c:numRef>
          </c:val>
          <c:extLst>
            <c:ext xmlns:c16="http://schemas.microsoft.com/office/drawing/2014/chart" uri="{C3380CC4-5D6E-409C-BE32-E72D297353CC}">
              <c16:uniqueId val="{00000007-E09C-4240-B985-6B62AC667002}"/>
            </c:ext>
          </c:extLst>
        </c:ser>
        <c:ser>
          <c:idx val="8"/>
          <c:order val="8"/>
          <c:tx>
            <c:strRef>
              <c:f>'Low activity under 10m'!$B$170</c:f>
              <c:strCache>
                <c:ptCount val="1"/>
                <c:pt idx="0">
                  <c:v>Others</c:v>
                </c:pt>
              </c:strCache>
            </c:strRef>
          </c:tx>
          <c:spPr>
            <a:solidFill>
              <a:srgbClr val="55585A"/>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10m'!$C$170:$E$170</c:f>
              <c:numCache>
                <c:formatCode>0%</c:formatCode>
                <c:ptCount val="3"/>
                <c:pt idx="0">
                  <c:v>0.27693137912106003</c:v>
                </c:pt>
                <c:pt idx="1">
                  <c:v>0.26167288097178765</c:v>
                </c:pt>
                <c:pt idx="2">
                  <c:v>0.51812972498954246</c:v>
                </c:pt>
              </c:numCache>
            </c:numRef>
          </c:val>
          <c:extLst>
            <c:ext xmlns:c16="http://schemas.microsoft.com/office/drawing/2014/chart" uri="{C3380CC4-5D6E-409C-BE32-E72D297353CC}">
              <c16:uniqueId val="{00000008-E09C-4240-B985-6B62AC667002}"/>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'Low activity under 10m'!$H$162</c:f>
              <c:strCache>
                <c:ptCount val="1"/>
                <c:pt idx="0">
                  <c:v>Lobsters</c:v>
                </c:pt>
              </c:strCache>
            </c:strRef>
          </c:tx>
          <c:spPr>
            <a:solidFill>
              <a:srgbClr val="2273B9"/>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10m'!$I$162:$K$162</c:f>
              <c:numCache>
                <c:formatCode>0%</c:formatCode>
                <c:ptCount val="3"/>
                <c:pt idx="0">
                  <c:v>0.37950396167448136</c:v>
                </c:pt>
                <c:pt idx="1">
                  <c:v>0.36812017300093519</c:v>
                </c:pt>
                <c:pt idx="2">
                  <c:v>0.27343690136764576</c:v>
                </c:pt>
              </c:numCache>
            </c:numRef>
          </c:val>
          <c:extLst>
            <c:ext xmlns:c16="http://schemas.microsoft.com/office/drawing/2014/chart" uri="{C3380CC4-5D6E-409C-BE32-E72D297353CC}">
              <c16:uniqueId val="{00000000-FD7A-4A8B-B675-CE397088865E}"/>
            </c:ext>
          </c:extLst>
        </c:ser>
        <c:ser>
          <c:idx val="1"/>
          <c:order val="1"/>
          <c:tx>
            <c:strRef>
              <c:f>'Low activity under 10m'!$H$163</c:f>
              <c:strCache>
                <c:ptCount val="1"/>
                <c:pt idx="0">
                  <c:v>Bass</c:v>
                </c:pt>
              </c:strCache>
            </c:strRef>
          </c:tx>
          <c:spPr>
            <a:solidFill>
              <a:srgbClr val="E87308"/>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10m'!$I$163:$K$163</c:f>
              <c:numCache>
                <c:formatCode>0%</c:formatCode>
                <c:ptCount val="3"/>
                <c:pt idx="0">
                  <c:v>0.14014356322839883</c:v>
                </c:pt>
                <c:pt idx="1">
                  <c:v>0.14517204857045302</c:v>
                </c:pt>
                <c:pt idx="2">
                  <c:v>0.13971956001228919</c:v>
                </c:pt>
              </c:numCache>
            </c:numRef>
          </c:val>
          <c:extLst>
            <c:ext xmlns:c16="http://schemas.microsoft.com/office/drawing/2014/chart" uri="{C3380CC4-5D6E-409C-BE32-E72D297353CC}">
              <c16:uniqueId val="{00000001-FD7A-4A8B-B675-CE397088865E}"/>
            </c:ext>
          </c:extLst>
        </c:ser>
        <c:ser>
          <c:idx val="2"/>
          <c:order val="2"/>
          <c:tx>
            <c:strRef>
              <c:f>'Low activity under 10m'!$H$164</c:f>
              <c:strCache>
                <c:ptCount val="1"/>
                <c:pt idx="0">
                  <c:v>Mackerel</c:v>
                </c:pt>
              </c:strCache>
            </c:strRef>
          </c:tx>
          <c:spPr>
            <a:solidFill>
              <a:srgbClr val="648C2E"/>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10m'!$I$164:$K$164</c:f>
              <c:numCache>
                <c:formatCode>0%</c:formatCode>
                <c:ptCount val="3"/>
                <c:pt idx="0">
                  <c:v>0.14443219395439397</c:v>
                </c:pt>
                <c:pt idx="1">
                  <c:v>0.13463942893480679</c:v>
                </c:pt>
                <c:pt idx="2">
                  <c:v>8.2805866013262688E-2</c:v>
                </c:pt>
              </c:numCache>
            </c:numRef>
          </c:val>
          <c:extLst>
            <c:ext xmlns:c16="http://schemas.microsoft.com/office/drawing/2014/chart" uri="{C3380CC4-5D6E-409C-BE32-E72D297353CC}">
              <c16:uniqueId val="{00000002-FD7A-4A8B-B675-CE397088865E}"/>
            </c:ext>
          </c:extLst>
        </c:ser>
        <c:ser>
          <c:idx val="3"/>
          <c:order val="3"/>
          <c:tx>
            <c:strRef>
              <c:f>'Low activity under 10m'!$H$165</c:f>
              <c:strCache>
                <c:ptCount val="1"/>
                <c:pt idx="0">
                  <c:v>Brown Crab</c:v>
                </c:pt>
              </c:strCache>
            </c:strRef>
          </c:tx>
          <c:spPr>
            <a:solidFill>
              <a:srgbClr val="C1D119"/>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10m'!$I$165:$K$165</c:f>
              <c:numCache>
                <c:formatCode>0%</c:formatCode>
                <c:ptCount val="3"/>
                <c:pt idx="0">
                  <c:v>6.116930994429387E-2</c:v>
                </c:pt>
                <c:pt idx="1">
                  <c:v>7.6973014253779795E-2</c:v>
                </c:pt>
                <c:pt idx="2">
                  <c:v>8.8508717181720056E-2</c:v>
                </c:pt>
              </c:numCache>
            </c:numRef>
          </c:val>
          <c:extLst>
            <c:ext xmlns:c16="http://schemas.microsoft.com/office/drawing/2014/chart" uri="{C3380CC4-5D6E-409C-BE32-E72D297353CC}">
              <c16:uniqueId val="{00000003-FD7A-4A8B-B675-CE397088865E}"/>
            </c:ext>
          </c:extLst>
        </c:ser>
        <c:ser>
          <c:idx val="4"/>
          <c:order val="4"/>
          <c:tx>
            <c:strRef>
              <c:f>'Low activity under 10m'!$H$166</c:f>
              <c:strCache>
                <c:ptCount val="1"/>
                <c:pt idx="0">
                  <c:v>Velvet Crab</c:v>
                </c:pt>
              </c:strCache>
            </c:strRef>
          </c:tx>
          <c:spPr>
            <a:solidFill>
              <a:srgbClr val="E84A38"/>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10m'!$I$166:$K$166</c:f>
              <c:numCache>
                <c:formatCode>0%</c:formatCode>
                <c:ptCount val="3"/>
                <c:pt idx="0">
                  <c:v>5.9603059112962833E-2</c:v>
                </c:pt>
                <c:pt idx="1">
                  <c:v>7.5430919294379575E-2</c:v>
                </c:pt>
                <c:pt idx="2">
                  <c:v>0</c:v>
                </c:pt>
              </c:numCache>
            </c:numRef>
          </c:val>
          <c:extLst>
            <c:ext xmlns:c16="http://schemas.microsoft.com/office/drawing/2014/chart" uri="{C3380CC4-5D6E-409C-BE32-E72D297353CC}">
              <c16:uniqueId val="{00000004-FD7A-4A8B-B675-CE397088865E}"/>
            </c:ext>
          </c:extLst>
        </c:ser>
        <c:ser>
          <c:idx val="5"/>
          <c:order val="5"/>
          <c:tx>
            <c:strRef>
              <c:f>'Low activity under 10m'!$H$167</c:f>
              <c:strCache>
                <c:ptCount val="1"/>
                <c:pt idx="0">
                  <c:v>Sole</c:v>
                </c:pt>
              </c:strCache>
            </c:strRef>
          </c:tx>
          <c:spPr>
            <a:solidFill>
              <a:srgbClr val="51AA81"/>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10m'!$I$167:$K$167</c:f>
              <c:numCache>
                <c:formatCode>0%</c:formatCode>
                <c:ptCount val="3"/>
                <c:pt idx="0">
                  <c:v>0</c:v>
                </c:pt>
                <c:pt idx="1">
                  <c:v>0</c:v>
                </c:pt>
                <c:pt idx="2">
                  <c:v>6.0038760133648492E-2</c:v>
                </c:pt>
              </c:numCache>
            </c:numRef>
          </c:val>
          <c:extLst>
            <c:ext xmlns:c16="http://schemas.microsoft.com/office/drawing/2014/chart" uri="{C3380CC4-5D6E-409C-BE32-E72D297353CC}">
              <c16:uniqueId val="{00000005-FD7A-4A8B-B675-CE397088865E}"/>
            </c:ext>
          </c:extLst>
        </c:ser>
        <c:ser>
          <c:idx val="6"/>
          <c:order val="6"/>
          <c:tx>
            <c:strRef>
              <c:f>'Low activity under 10m'!$H$168</c:f>
              <c:strCache>
                <c:ptCount val="1"/>
                <c:pt idx="0">
                  <c:v>Others</c:v>
                </c:pt>
              </c:strCache>
            </c:strRef>
          </c:tx>
          <c:spPr>
            <a:solidFill>
              <a:srgbClr val="55585A"/>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10m'!$I$168:$K$168</c:f>
              <c:numCache>
                <c:formatCode>0%</c:formatCode>
                <c:ptCount val="3"/>
                <c:pt idx="0">
                  <c:v>0.21514791208546913</c:v>
                </c:pt>
                <c:pt idx="1">
                  <c:v>0.19966441594564566</c:v>
                </c:pt>
                <c:pt idx="2">
                  <c:v>0.35549019529143377</c:v>
                </c:pt>
              </c:numCache>
            </c:numRef>
          </c:val>
          <c:extLst>
            <c:ext xmlns:c16="http://schemas.microsoft.com/office/drawing/2014/chart" uri="{C3380CC4-5D6E-409C-BE32-E72D297353CC}">
              <c16:uniqueId val="{00000006-FD7A-4A8B-B675-CE397088865E}"/>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'Area VIIa demersal trawl'!$K$139</c:f>
              <c:strCache>
                <c:ptCount val="1"/>
                <c:pt idx="0">
                  <c:v>Total income</c:v>
                </c:pt>
              </c:strCache>
            </c:strRef>
          </c:tx>
          <c:spPr>
            <a:solidFill>
              <a:srgbClr val="087CBB"/>
            </a:solidFill>
            <a:ln>
              <a:solidFill>
                <a:schemeClr val="accent1"/>
              </a:solidFill>
            </a:ln>
          </c:spPr>
          <c:invertIfNegative val="0"/>
          <c:cat>
            <c:strRef>
              <c:f>'Area VIIa demersal trawl'!$L$138:$N$138</c:f>
              <c:strCache>
                <c:ptCount val="3"/>
                <c:pt idx="0">
                  <c:v>Most
profitable
quartile</c:v>
                </c:pt>
                <c:pt idx="1">
                  <c:v>Middle
two quartiles</c:v>
                </c:pt>
                <c:pt idx="2">
                  <c:v>Least
profitable
quartile</c:v>
                </c:pt>
              </c:strCache>
            </c:strRef>
          </c:cat>
          <c:val>
            <c:numRef>
              <c:f>'Area VIIa demersal trawl'!$L$139:$N$139</c:f>
              <c:numCache>
                <c:formatCode>#,##0</c:formatCode>
                <c:ptCount val="3"/>
                <c:pt idx="0">
                  <c:v>0</c:v>
                </c:pt>
                <c:pt idx="1">
                  <c:v>655.31945625000003</c:v>
                </c:pt>
                <c:pt idx="2">
                  <c:v>0</c:v>
                </c:pt>
              </c:numCache>
            </c:numRef>
          </c:val>
          <c:extLst>
            <c:ext xmlns:c16="http://schemas.microsoft.com/office/drawing/2014/chart" uri="{C3380CC4-5D6E-409C-BE32-E72D297353CC}">
              <c16:uniqueId val="{00000000-C665-4241-930C-83594FD5CA9F}"/>
            </c:ext>
          </c:extLst>
        </c:ser>
        <c:ser>
          <c:idx val="1"/>
          <c:order val="1"/>
          <c:tx>
            <c:strRef>
              <c:f>'Area VIIa demersal trawl'!$K$140</c:f>
              <c:strCache>
                <c:ptCount val="1"/>
                <c:pt idx="0">
                  <c:v>Operating costs</c:v>
                </c:pt>
              </c:strCache>
            </c:strRef>
          </c:tx>
          <c:spPr>
            <a:solidFill>
              <a:srgbClr val="E87308"/>
            </a:solidFill>
          </c:spPr>
          <c:invertIfNegative val="0"/>
          <c:cat>
            <c:strRef>
              <c:f>'Area VIIa demersal trawl'!$L$138:$N$138</c:f>
              <c:strCache>
                <c:ptCount val="3"/>
                <c:pt idx="0">
                  <c:v>Most
profitable
quartile</c:v>
                </c:pt>
                <c:pt idx="1">
                  <c:v>Middle
two quartiles</c:v>
                </c:pt>
                <c:pt idx="2">
                  <c:v>Least
profitable
quartile</c:v>
                </c:pt>
              </c:strCache>
            </c:strRef>
          </c:cat>
          <c:val>
            <c:numRef>
              <c:f>'Area VIIa demersal trawl'!$L$140:$N$140</c:f>
              <c:numCache>
                <c:formatCode>#,##0</c:formatCode>
                <c:ptCount val="3"/>
                <c:pt idx="0">
                  <c:v>0</c:v>
                </c:pt>
                <c:pt idx="1">
                  <c:v>527.95116874999997</c:v>
                </c:pt>
                <c:pt idx="2">
                  <c:v>0</c:v>
                </c:pt>
              </c:numCache>
            </c:numRef>
          </c:val>
          <c:extLst>
            <c:ext xmlns:c16="http://schemas.microsoft.com/office/drawing/2014/chart" uri="{C3380CC4-5D6E-409C-BE32-E72D297353CC}">
              <c16:uniqueId val="{00000001-C665-4241-930C-83594FD5CA9F}"/>
            </c:ext>
          </c:extLst>
        </c:ser>
        <c:ser>
          <c:idx val="2"/>
          <c:order val="2"/>
          <c:tx>
            <c:strRef>
              <c:f>'Area VIIa demersal trawl'!$K$141</c:f>
              <c:strCache>
                <c:ptCount val="1"/>
                <c:pt idx="0">
                  <c:v>Operating profit</c:v>
                </c:pt>
              </c:strCache>
            </c:strRef>
          </c:tx>
          <c:spPr>
            <a:solidFill>
              <a:srgbClr val="51AA81"/>
            </a:solidFill>
          </c:spPr>
          <c:invertIfNegative val="0"/>
          <c:cat>
            <c:strRef>
              <c:f>'Area VIIa demersal trawl'!$L$138:$N$138</c:f>
              <c:strCache>
                <c:ptCount val="3"/>
                <c:pt idx="0">
                  <c:v>Most
profitable
quartile</c:v>
                </c:pt>
                <c:pt idx="1">
                  <c:v>Middle
two quartiles</c:v>
                </c:pt>
                <c:pt idx="2">
                  <c:v>Least
profitable
quartile</c:v>
                </c:pt>
              </c:strCache>
            </c:strRef>
          </c:cat>
          <c:val>
            <c:numRef>
              <c:f>'Area VIIa demersal trawl'!$L$141:$N$141</c:f>
              <c:numCache>
                <c:formatCode>#,##0</c:formatCode>
                <c:ptCount val="3"/>
                <c:pt idx="0">
                  <c:v>0</c:v>
                </c:pt>
                <c:pt idx="1">
                  <c:v>127.36828749999999</c:v>
                </c:pt>
                <c:pt idx="2">
                  <c:v>0</c:v>
                </c:pt>
              </c:numCache>
            </c:numRef>
          </c:val>
          <c:extLst>
            <c:ext xmlns:c16="http://schemas.microsoft.com/office/drawing/2014/chart" uri="{C3380CC4-5D6E-409C-BE32-E72D297353CC}">
              <c16:uniqueId val="{00000002-C665-4241-930C-83594FD5CA9F}"/>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'Area VIIa demersal trawl'!$K$142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'Low activity under 10m'!$K$139</c:f>
              <c:strCache>
                <c:ptCount val="1"/>
                <c:pt idx="0">
                  <c:v>Total income</c:v>
                </c:pt>
              </c:strCache>
            </c:strRef>
          </c:tx>
          <c:spPr>
            <a:solidFill>
              <a:srgbClr val="087CBB"/>
            </a:solidFill>
            <a:ln>
              <a:solidFill>
                <a:schemeClr val="accent1"/>
              </a:solidFill>
            </a:ln>
          </c:spPr>
          <c:invertIfNegative val="0"/>
          <c:cat>
            <c:strRef>
              <c:f>'Low activity under 10m'!$L$138:$N$138</c:f>
              <c:strCache>
                <c:ptCount val="3"/>
                <c:pt idx="0">
                  <c:v>Most
profitable
quartile</c:v>
                </c:pt>
                <c:pt idx="1">
                  <c:v>Middle
two quartiles</c:v>
                </c:pt>
                <c:pt idx="2">
                  <c:v>Least
profitable
quartile</c:v>
                </c:pt>
              </c:strCache>
            </c:strRef>
          </c:cat>
          <c:val>
            <c:numRef>
              <c:f>'Low activity under 10m'!$L$139:$N$139</c:f>
              <c:numCache>
                <c:formatCode>#,##0</c:formatCode>
                <c:ptCount val="3"/>
                <c:pt idx="0">
                  <c:v>5.9516923828125003</c:v>
                </c:pt>
                <c:pt idx="1">
                  <c:v>4.4140283203125001</c:v>
                </c:pt>
                <c:pt idx="2">
                  <c:v>2.41740356445312</c:v>
                </c:pt>
              </c:numCache>
            </c:numRef>
          </c:val>
          <c:extLst>
            <c:ext xmlns:c16="http://schemas.microsoft.com/office/drawing/2014/chart" uri="{C3380CC4-5D6E-409C-BE32-E72D297353CC}">
              <c16:uniqueId val="{00000000-E545-4BB8-998F-E0578F7D79C7}"/>
            </c:ext>
          </c:extLst>
        </c:ser>
        <c:ser>
          <c:idx val="1"/>
          <c:order val="1"/>
          <c:tx>
            <c:strRef>
              <c:f>'Low activity under 10m'!$K$140</c:f>
              <c:strCache>
                <c:ptCount val="1"/>
                <c:pt idx="0">
                  <c:v>Operating costs</c:v>
                </c:pt>
              </c:strCache>
            </c:strRef>
          </c:tx>
          <c:spPr>
            <a:solidFill>
              <a:srgbClr val="E87308"/>
            </a:solidFill>
          </c:spPr>
          <c:invertIfNegative val="0"/>
          <c:cat>
            <c:strRef>
              <c:f>'Low activity under 10m'!$L$138:$N$138</c:f>
              <c:strCache>
                <c:ptCount val="3"/>
                <c:pt idx="0">
                  <c:v>Most
profitable
quartile</c:v>
                </c:pt>
                <c:pt idx="1">
                  <c:v>Middle
two quartiles</c:v>
                </c:pt>
                <c:pt idx="2">
                  <c:v>Least
profitable
quartile</c:v>
                </c:pt>
              </c:strCache>
            </c:strRef>
          </c:cat>
          <c:val>
            <c:numRef>
              <c:f>'Low activity under 10m'!$L$140:$N$140</c:f>
              <c:numCache>
                <c:formatCode>#,##0</c:formatCode>
                <c:ptCount val="3"/>
                <c:pt idx="0">
                  <c:v>5.5131127929687498</c:v>
                </c:pt>
                <c:pt idx="1">
                  <c:v>4.4453571777343797</c:v>
                </c:pt>
                <c:pt idx="2">
                  <c:v>3.0943493652343701</c:v>
                </c:pt>
              </c:numCache>
            </c:numRef>
          </c:val>
          <c:extLst>
            <c:ext xmlns:c16="http://schemas.microsoft.com/office/drawing/2014/chart" uri="{C3380CC4-5D6E-409C-BE32-E72D297353CC}">
              <c16:uniqueId val="{00000001-E545-4BB8-998F-E0578F7D79C7}"/>
            </c:ext>
          </c:extLst>
        </c:ser>
        <c:ser>
          <c:idx val="2"/>
          <c:order val="2"/>
          <c:tx>
            <c:strRef>
              <c:f>'Low activity under 10m'!$K$141</c:f>
              <c:strCache>
                <c:ptCount val="1"/>
                <c:pt idx="0">
                  <c:v>Operating profit</c:v>
                </c:pt>
              </c:strCache>
            </c:strRef>
          </c:tx>
          <c:spPr>
            <a:solidFill>
              <a:srgbClr val="51AA81"/>
            </a:solidFill>
          </c:spPr>
          <c:invertIfNegative val="0"/>
          <c:cat>
            <c:strRef>
              <c:f>'Low activity under 10m'!$L$138:$N$138</c:f>
              <c:strCache>
                <c:ptCount val="3"/>
                <c:pt idx="0">
                  <c:v>Most
profitable
quartile</c:v>
                </c:pt>
                <c:pt idx="1">
                  <c:v>Middle
two quartiles</c:v>
                </c:pt>
                <c:pt idx="2">
                  <c:v>Least
profitable
quartile</c:v>
                </c:pt>
              </c:strCache>
            </c:strRef>
          </c:cat>
          <c:val>
            <c:numRef>
              <c:f>'Low activity under 10m'!$L$141:$N$141</c:f>
              <c:numCache>
                <c:formatCode>#,##0</c:formatCode>
                <c:ptCount val="3"/>
                <c:pt idx="0">
                  <c:v>0.43857958984375001</c:v>
                </c:pt>
                <c:pt idx="1">
                  <c:v>-3.1328857421875002E-2</c:v>
                </c:pt>
                <c:pt idx="2">
                  <c:v>-0.67694580078125</c:v>
                </c:pt>
              </c:numCache>
            </c:numRef>
          </c:val>
          <c:extLst>
            <c:ext xmlns:c16="http://schemas.microsoft.com/office/drawing/2014/chart" uri="{C3380CC4-5D6E-409C-BE32-E72D297353CC}">
              <c16:uniqueId val="{00000002-E545-4BB8-998F-E0578F7D79C7}"/>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'Low activity under 10m'!$K$142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300kW'!$A$48</c:f>
          <c:strCache>
            <c:ptCount val="1"/>
            <c:pt idx="0">
              <c:v>Landings per kW day at sea (kg)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621C-4783-9C1F-2867409E0C1B}"/>
              </c:ext>
            </c:extLst>
          </c:dPt>
          <c:dPt>
            <c:idx val="10"/>
            <c:bubble3D val="0"/>
            <c:spPr>
              <a:ln w="57150">
                <a:solidFill>
                  <a:srgbClr val="2273B9"/>
                </a:solidFill>
                <a:prstDash val="sysDot"/>
              </a:ln>
            </c:spPr>
            <c:extLst>
              <c:ext xmlns:c16="http://schemas.microsoft.com/office/drawing/2014/chart" uri="{C3380CC4-5D6E-409C-BE32-E72D297353CC}">
                <c16:uniqueId val="{00000003-621C-4783-9C1F-2867409E0C1B}"/>
              </c:ext>
            </c:extLst>
          </c:dPt>
          <c:cat>
            <c:numRef>
              <c:f>'NS beam trawl over 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 beam trawl over 300kW'!$D$21:$N$21</c:f>
              <c:numCache>
                <c:formatCode>#,##0.00</c:formatCode>
                <c:ptCount val="11"/>
                <c:pt idx="0">
                  <c:v>2.9324405182709454</c:v>
                </c:pt>
                <c:pt idx="1">
                  <c:v>3.3281555950026775</c:v>
                </c:pt>
                <c:pt idx="2">
                  <c:v>3.6989979213846667</c:v>
                </c:pt>
                <c:pt idx="3">
                  <c:v>3.0654884837860195</c:v>
                </c:pt>
                <c:pt idx="4">
                  <c:v>3.0560596484096374</c:v>
                </c:pt>
                <c:pt idx="5">
                  <c:v>3.1873325317702004</c:v>
                </c:pt>
                <c:pt idx="6">
                  <c:v>3.3147402027274158</c:v>
                </c:pt>
                <c:pt idx="7">
                  <c:v>2.8714924850069496</c:v>
                </c:pt>
                <c:pt idx="8">
                  <c:v>2.038167439492141</c:v>
                </c:pt>
                <c:pt idx="9">
                  <c:v>1.698740415545378</c:v>
                </c:pt>
                <c:pt idx="10">
                  <c:v>1.2132909662062246</c:v>
                </c:pt>
              </c:numCache>
            </c:numRef>
          </c:val>
          <c:smooth val="0"/>
          <c:extLst>
            <c:ext xmlns:c16="http://schemas.microsoft.com/office/drawing/2014/chart" uri="{C3380CC4-5D6E-409C-BE32-E72D297353CC}">
              <c16:uniqueId val="{00000004-621C-4783-9C1F-2867409E0C1B}"/>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300kW'!$A$49</c:f>
          <c:strCache>
            <c:ptCount val="1"/>
            <c:pt idx="0">
              <c:v>Fishing income per kW day at sea (£)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52F8-4C33-A1D7-8B0919A6EBA5}"/>
              </c:ext>
            </c:extLst>
          </c:dPt>
          <c:dPt>
            <c:idx val="10"/>
            <c:bubble3D val="0"/>
            <c:spPr>
              <a:ln w="57150">
                <a:solidFill>
                  <a:srgbClr val="648C2E"/>
                </a:solidFill>
                <a:prstDash val="sysDot"/>
              </a:ln>
            </c:spPr>
            <c:extLst>
              <c:ext xmlns:c16="http://schemas.microsoft.com/office/drawing/2014/chart" uri="{C3380CC4-5D6E-409C-BE32-E72D297353CC}">
                <c16:uniqueId val="{00000003-52F8-4C33-A1D7-8B0919A6EBA5}"/>
              </c:ext>
            </c:extLst>
          </c:dPt>
          <c:cat>
            <c:numRef>
              <c:f>'NS beam trawl over 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 beam trawl over 300kW'!$D$22:$N$22</c:f>
              <c:numCache>
                <c:formatCode>#,##0.00</c:formatCode>
                <c:ptCount val="11"/>
                <c:pt idx="0">
                  <c:v>6.5451591112717402</c:v>
                </c:pt>
                <c:pt idx="1">
                  <c:v>7.3152877193739503</c:v>
                </c:pt>
                <c:pt idx="2">
                  <c:v>7.1047993435550696</c:v>
                </c:pt>
                <c:pt idx="3">
                  <c:v>5.4311524006102001</c:v>
                </c:pt>
                <c:pt idx="4">
                  <c:v>5.6429504999931899</c:v>
                </c:pt>
                <c:pt idx="5">
                  <c:v>6.4199220035542703</c:v>
                </c:pt>
                <c:pt idx="6">
                  <c:v>7.0705543873993397</c:v>
                </c:pt>
                <c:pt idx="7">
                  <c:v>5.9105458487180798</c:v>
                </c:pt>
                <c:pt idx="8">
                  <c:v>5.2011598137805404</c:v>
                </c:pt>
                <c:pt idx="9">
                  <c:v>3.7537144492662602</c:v>
                </c:pt>
                <c:pt idx="10">
                  <c:v>1.9780088334078907</c:v>
                </c:pt>
              </c:numCache>
            </c:numRef>
          </c:val>
          <c:smooth val="0"/>
          <c:extLst>
            <c:ext xmlns:c16="http://schemas.microsoft.com/office/drawing/2014/chart" uri="{C3380CC4-5D6E-409C-BE32-E72D297353CC}">
              <c16:uniqueId val="{00000004-52F8-4C33-A1D7-8B0919A6EBA5}"/>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300kW'!$B$62</c:f>
          <c:strCache>
            <c:ptCount val="1"/>
            <c:pt idx="0">
              <c:v>Total cost per kW day at sea (£)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C2CE-4DA8-A41D-70AF31BE3F7D}"/>
              </c:ext>
            </c:extLst>
          </c:dPt>
          <c:dPt>
            <c:idx val="10"/>
            <c:bubble3D val="0"/>
            <c:spPr>
              <a:ln w="57150">
                <a:solidFill>
                  <a:srgbClr val="087CBB"/>
                </a:solidFill>
                <a:prstDash val="sysDot"/>
              </a:ln>
            </c:spPr>
            <c:extLst>
              <c:ext xmlns:c16="http://schemas.microsoft.com/office/drawing/2014/chart" uri="{C3380CC4-5D6E-409C-BE32-E72D297353CC}">
                <c16:uniqueId val="{00000003-C2CE-4DA8-A41D-70AF31BE3F7D}"/>
              </c:ext>
            </c:extLst>
          </c:dPt>
          <c:cat>
            <c:numRef>
              <c:f>'NS beam trawl over 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 beam trawl over 300kW'!$D$23:$N$23</c:f>
              <c:numCache>
                <c:formatCode>#,##0.00</c:formatCode>
                <c:ptCount val="11"/>
                <c:pt idx="0">
                  <c:v>6.0951886438525902</c:v>
                </c:pt>
                <c:pt idx="1">
                  <c:v>6.8990221642859799</c:v>
                </c:pt>
                <c:pt idx="2">
                  <c:v>7.1121878927339397</c:v>
                </c:pt>
                <c:pt idx="3">
                  <c:v>5.8026414142650102</c:v>
                </c:pt>
                <c:pt idx="4">
                  <c:v>5.7778487116307504</c:v>
                </c:pt>
                <c:pt idx="5">
                  <c:v>6.1442225327677802</c:v>
                </c:pt>
                <c:pt idx="6">
                  <c:v>6.25026855811997</c:v>
                </c:pt>
                <c:pt idx="7">
                  <c:v>5.8435955742841896</c:v>
                </c:pt>
                <c:pt idx="8">
                  <c:v>6.26155045891295</c:v>
                </c:pt>
                <c:pt idx="9">
                  <c:v>4.2060599081872301</c:v>
                </c:pt>
                <c:pt idx="10">
                  <c:v>3.3348407434053735</c:v>
                </c:pt>
              </c:numCache>
            </c:numRef>
          </c:val>
          <c:smooth val="0"/>
          <c:extLst>
            <c:ext xmlns:c16="http://schemas.microsoft.com/office/drawing/2014/chart" uri="{C3380CC4-5D6E-409C-BE32-E72D297353CC}">
              <c16:uniqueId val="{00000004-C2CE-4DA8-A41D-70AF31BE3F7D}"/>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300kW'!$K$48</c:f>
          <c:strCache>
            <c:ptCount val="1"/>
            <c:pt idx="0">
              <c:v>Operating profit per kW day at sea (£)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63D0-4806-9D6B-C8C9346622BB}"/>
              </c:ext>
            </c:extLst>
          </c:dPt>
          <c:dPt>
            <c:idx val="10"/>
            <c:bubble3D val="0"/>
            <c:spPr>
              <a:ln w="57150">
                <a:solidFill>
                  <a:schemeClr val="accent3"/>
                </a:solidFill>
                <a:prstDash val="sysDot"/>
              </a:ln>
            </c:spPr>
            <c:extLst>
              <c:ext xmlns:c16="http://schemas.microsoft.com/office/drawing/2014/chart" uri="{C3380CC4-5D6E-409C-BE32-E72D297353CC}">
                <c16:uniqueId val="{00000003-63D0-4806-9D6B-C8C9346622BB}"/>
              </c:ext>
            </c:extLst>
          </c:dPt>
          <c:cat>
            <c:numRef>
              <c:f>'NS beam trawl over 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 beam trawl over 300kW'!$D$24:$N$24</c:f>
              <c:numCache>
                <c:formatCode>#,##0.00</c:formatCode>
                <c:ptCount val="11"/>
                <c:pt idx="0">
                  <c:v>0.46926134799531699</c:v>
                </c:pt>
                <c:pt idx="1">
                  <c:v>0.43782627639494398</c:v>
                </c:pt>
                <c:pt idx="2">
                  <c:v>1.3551787617593901E-2</c:v>
                </c:pt>
                <c:pt idx="3">
                  <c:v>-0.29840196920051498</c:v>
                </c:pt>
                <c:pt idx="4">
                  <c:v>-0.111521491522731</c:v>
                </c:pt>
                <c:pt idx="5">
                  <c:v>0.47147492976729699</c:v>
                </c:pt>
                <c:pt idx="6">
                  <c:v>0.89265604137365495</c:v>
                </c:pt>
                <c:pt idx="7">
                  <c:v>0.247192318576405</c:v>
                </c:pt>
                <c:pt idx="8">
                  <c:v>-0.16549159104786201</c:v>
                </c:pt>
                <c:pt idx="9">
                  <c:v>-0.33787597944050002</c:v>
                </c:pt>
                <c:pt idx="10">
                  <c:v>-1.2965125527718233</c:v>
                </c:pt>
              </c:numCache>
            </c:numRef>
          </c:val>
          <c:smooth val="0"/>
          <c:extLst>
            <c:ext xmlns:c16="http://schemas.microsoft.com/office/drawing/2014/chart" uri="{C3380CC4-5D6E-409C-BE32-E72D297353CC}">
              <c16:uniqueId val="{00000004-63D0-4806-9D6B-C8C9346622BB}"/>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300kW'!$A$50</c:f>
          <c:strCache>
            <c:ptCount val="1"/>
            <c:pt idx="0">
              <c:v>Average price per tonne landed (£)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2D25-4F56-A35E-55BD88EB8FF8}"/>
              </c:ext>
            </c:extLst>
          </c:dPt>
          <c:dPt>
            <c:idx val="10"/>
            <c:bubble3D val="0"/>
            <c:spPr>
              <a:ln w="57150">
                <a:solidFill>
                  <a:schemeClr val="accent4"/>
                </a:solidFill>
                <a:prstDash val="sysDot"/>
              </a:ln>
            </c:spPr>
            <c:extLst>
              <c:ext xmlns:c16="http://schemas.microsoft.com/office/drawing/2014/chart" uri="{C3380CC4-5D6E-409C-BE32-E72D297353CC}">
                <c16:uniqueId val="{00000003-2D25-4F56-A35E-55BD88EB8FF8}"/>
              </c:ext>
            </c:extLst>
          </c:dPt>
          <c:cat>
            <c:numRef>
              <c:f>'NS beam trawl over 300kW'!$D$2:$M$2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'NS beam trawl over 300kW'!$D$20:$N$20</c:f>
              <c:numCache>
                <c:formatCode>#,##0</c:formatCode>
                <c:ptCount val="11"/>
                <c:pt idx="0">
                  <c:v>2232</c:v>
                </c:pt>
                <c:pt idx="1">
                  <c:v>2198</c:v>
                </c:pt>
                <c:pt idx="2">
                  <c:v>1921</c:v>
                </c:pt>
                <c:pt idx="3">
                  <c:v>1772</c:v>
                </c:pt>
                <c:pt idx="4">
                  <c:v>1846</c:v>
                </c:pt>
                <c:pt idx="5">
                  <c:v>2014</c:v>
                </c:pt>
                <c:pt idx="6">
                  <c:v>2133</c:v>
                </c:pt>
                <c:pt idx="7">
                  <c:v>2058</c:v>
                </c:pt>
                <c:pt idx="8">
                  <c:v>2552</c:v>
                </c:pt>
                <c:pt idx="9">
                  <c:v>2210</c:v>
                </c:pt>
                <c:pt idx="10">
                  <c:v>1630</c:v>
                </c:pt>
              </c:numCache>
            </c:numRef>
          </c:val>
          <c:smooth val="0"/>
          <c:extLst>
            <c:ext xmlns:c16="http://schemas.microsoft.com/office/drawing/2014/chart" uri="{C3380CC4-5D6E-409C-BE32-E72D297353CC}">
              <c16:uniqueId val="{00000004-2D25-4F56-A35E-55BD88EB8FF8}"/>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300kW'!$K$62</c:f>
          <c:strCache>
            <c:ptCount val="1"/>
            <c:pt idx="0">
              <c:v>Average annual operating profit per vessel (£'000)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612D-41E0-8940-CF86D39833B8}"/>
              </c:ext>
            </c:extLst>
          </c:dPt>
          <c:dPt>
            <c:idx val="10"/>
            <c:bubble3D val="0"/>
            <c:spPr>
              <a:ln w="57150">
                <a:solidFill>
                  <a:schemeClr val="accent5"/>
                </a:solidFill>
                <a:prstDash val="sysDot"/>
              </a:ln>
            </c:spPr>
            <c:extLst>
              <c:ext xmlns:c16="http://schemas.microsoft.com/office/drawing/2014/chart" uri="{C3380CC4-5D6E-409C-BE32-E72D297353CC}">
                <c16:uniqueId val="{00000003-612D-41E0-8940-CF86D39833B8}"/>
              </c:ext>
            </c:extLst>
          </c:dPt>
          <c:cat>
            <c:numRef>
              <c:f>'NS beam trawl over 300kW'!$D$2:$M$2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'NS beam trawl over 300kW'!$D$37:$N$37</c:f>
              <c:numCache>
                <c:formatCode>#,##0.0</c:formatCode>
                <c:ptCount val="11"/>
                <c:pt idx="0">
                  <c:v>156.5</c:v>
                </c:pt>
                <c:pt idx="1">
                  <c:v>133.80000000000001</c:v>
                </c:pt>
                <c:pt idx="2">
                  <c:v>4.3</c:v>
                </c:pt>
                <c:pt idx="3">
                  <c:v>-102.5</c:v>
                </c:pt>
                <c:pt idx="4">
                  <c:v>-36.299999999999997</c:v>
                </c:pt>
                <c:pt idx="5">
                  <c:v>157.6</c:v>
                </c:pt>
                <c:pt idx="6">
                  <c:v>322.60000000000002</c:v>
                </c:pt>
                <c:pt idx="7">
                  <c:v>68.599999999999994</c:v>
                </c:pt>
                <c:pt idx="8">
                  <c:v>-58.2</c:v>
                </c:pt>
                <c:pt idx="9">
                  <c:v>-127.5</c:v>
                </c:pt>
                <c:pt idx="10">
                  <c:v>-466.3</c:v>
                </c:pt>
              </c:numCache>
            </c:numRef>
          </c:val>
          <c:smooth val="0"/>
          <c:extLst>
            <c:ext xmlns:c16="http://schemas.microsoft.com/office/drawing/2014/chart" uri="{C3380CC4-5D6E-409C-BE32-E72D297353CC}">
              <c16:uniqueId val="{00000004-612D-41E0-8940-CF86D39833B8}"/>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over 300kW'!$A$76</c:f>
          <c:strCache>
            <c:ptCount val="1"/>
            <c:pt idx="0">
              <c:v>Top 5 landed species by volume in 2019
North Sea beam trawl over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1E96-43C2-A89E-9DEB516147C5}"/>
              </c:ext>
            </c:extLst>
          </c:dPt>
          <c:dPt>
            <c:idx val="1"/>
            <c:bubble3D val="0"/>
            <c:spPr>
              <a:solidFill>
                <a:srgbClr val="E87308"/>
              </a:solidFill>
              <a:ln>
                <a:solidFill>
                  <a:srgbClr val="FFFFFF"/>
                </a:solidFill>
              </a:ln>
            </c:spPr>
            <c:extLst>
              <c:ext xmlns:c16="http://schemas.microsoft.com/office/drawing/2014/chart" uri="{C3380CC4-5D6E-409C-BE32-E72D297353CC}">
                <c16:uniqueId val="{00000003-1E96-43C2-A89E-9DEB516147C5}"/>
              </c:ext>
            </c:extLst>
          </c:dPt>
          <c:dPt>
            <c:idx val="2"/>
            <c:bubble3D val="0"/>
            <c:spPr>
              <a:solidFill>
                <a:srgbClr val="648C2E"/>
              </a:solidFill>
              <a:ln>
                <a:solidFill>
                  <a:srgbClr val="FFFFFF"/>
                </a:solidFill>
              </a:ln>
            </c:spPr>
            <c:extLst>
              <c:ext xmlns:c16="http://schemas.microsoft.com/office/drawing/2014/chart" uri="{C3380CC4-5D6E-409C-BE32-E72D297353CC}">
                <c16:uniqueId val="{00000005-1E96-43C2-A89E-9DEB516147C5}"/>
              </c:ext>
            </c:extLst>
          </c:dPt>
          <c:dPt>
            <c:idx val="3"/>
            <c:bubble3D val="0"/>
            <c:spPr>
              <a:solidFill>
                <a:srgbClr val="0F9AA9"/>
              </a:solidFill>
              <a:ln>
                <a:solidFill>
                  <a:srgbClr val="FFFFFF"/>
                </a:solidFill>
              </a:ln>
            </c:spPr>
            <c:extLst>
              <c:ext xmlns:c16="http://schemas.microsoft.com/office/drawing/2014/chart" uri="{C3380CC4-5D6E-409C-BE32-E72D297353CC}">
                <c16:uniqueId val="{00000007-1E96-43C2-A89E-9DEB516147C5}"/>
              </c:ext>
            </c:extLst>
          </c:dPt>
          <c:dPt>
            <c:idx val="4"/>
            <c:bubble3D val="0"/>
            <c:spPr>
              <a:solidFill>
                <a:srgbClr val="E84A38"/>
              </a:solidFill>
              <a:ln>
                <a:solidFill>
                  <a:srgbClr val="FFFFFF"/>
                </a:solidFill>
              </a:ln>
            </c:spPr>
            <c:extLst>
              <c:ext xmlns:c16="http://schemas.microsoft.com/office/drawing/2014/chart" uri="{C3380CC4-5D6E-409C-BE32-E72D297353CC}">
                <c16:uniqueId val="{00000009-1E96-43C2-A89E-9DEB516147C5}"/>
              </c:ext>
            </c:extLst>
          </c:dPt>
          <c:dPt>
            <c:idx val="5"/>
            <c:bubble3D val="0"/>
            <c:spPr>
              <a:solidFill>
                <a:srgbClr val="55585A"/>
              </a:solidFill>
              <a:ln>
                <a:solidFill>
                  <a:srgbClr val="FFFFFF"/>
                </a:solidFill>
              </a:ln>
            </c:spPr>
            <c:extLst>
              <c:ext xmlns:c16="http://schemas.microsoft.com/office/drawing/2014/chart" uri="{C3380CC4-5D6E-409C-BE32-E72D297353CC}">
                <c16:uniqueId val="{0000000B-1E96-43C2-A89E-9DEB516147C5}"/>
              </c:ext>
            </c:extLst>
          </c:dPt>
          <c:cat>
            <c:strRef>
              <c:f>'NS beam trawl over 300kW'!$B$77:$B$82</c:f>
              <c:strCache>
                <c:ptCount val="6"/>
                <c:pt idx="0">
                  <c:v>Plaice - 77.3%</c:v>
                </c:pt>
                <c:pt idx="1">
                  <c:v>Sole - 4.8%</c:v>
                </c:pt>
                <c:pt idx="2">
                  <c:v>Turbot - 4.1%</c:v>
                </c:pt>
                <c:pt idx="3">
                  <c:v>Dabs - 3.7%</c:v>
                </c:pt>
                <c:pt idx="4">
                  <c:v>Lemon Sole - 2.0%</c:v>
                </c:pt>
                <c:pt idx="5">
                  <c:v>Others - 8.1%</c:v>
                </c:pt>
              </c:strCache>
            </c:strRef>
          </c:cat>
          <c:val>
            <c:numRef>
              <c:f>'NS beam trawl over 300kW'!$C$77:$C$82</c:f>
              <c:numCache>
                <c:formatCode>0.0%</c:formatCode>
                <c:ptCount val="6"/>
                <c:pt idx="0">
                  <c:v>0.7734870672736025</c:v>
                </c:pt>
                <c:pt idx="1">
                  <c:v>4.7918863684803262E-2</c:v>
                </c:pt>
                <c:pt idx="2">
                  <c:v>4.0758762755132585E-2</c:v>
                </c:pt>
                <c:pt idx="3">
                  <c:v>3.7066891255983926E-2</c:v>
                </c:pt>
                <c:pt idx="4">
                  <c:v>1.9737428801917208E-2</c:v>
                </c:pt>
                <c:pt idx="5">
                  <c:v>8.1030986228560531E-2</c:v>
                </c:pt>
              </c:numCache>
            </c:numRef>
          </c:val>
          <c:extLst>
            <c:ext xmlns:c16="http://schemas.microsoft.com/office/drawing/2014/chart" uri="{C3380CC4-5D6E-409C-BE32-E72D297353CC}">
              <c16:uniqueId val="{0000000C-1E96-43C2-A89E-9DEB516147C5}"/>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over 300kW'!$F$76</c:f>
          <c:strCache>
            <c:ptCount val="1"/>
            <c:pt idx="0">
              <c:v>Top 5 landed species by value in 2019
North Sea beam trawl over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8A7C-4A6A-AA14-81673F9AC47C}"/>
              </c:ext>
            </c:extLst>
          </c:dPt>
          <c:dPt>
            <c:idx val="1"/>
            <c:bubble3D val="0"/>
            <c:spPr>
              <a:solidFill>
                <a:srgbClr val="E87308"/>
              </a:solidFill>
              <a:ln>
                <a:solidFill>
                  <a:srgbClr val="FFFFFF"/>
                </a:solidFill>
              </a:ln>
            </c:spPr>
            <c:extLst>
              <c:ext xmlns:c16="http://schemas.microsoft.com/office/drawing/2014/chart" uri="{C3380CC4-5D6E-409C-BE32-E72D297353CC}">
                <c16:uniqueId val="{00000003-8A7C-4A6A-AA14-81673F9AC47C}"/>
              </c:ext>
            </c:extLst>
          </c:dPt>
          <c:dPt>
            <c:idx val="2"/>
            <c:bubble3D val="0"/>
            <c:spPr>
              <a:solidFill>
                <a:srgbClr val="648C2E"/>
              </a:solidFill>
              <a:ln>
                <a:solidFill>
                  <a:srgbClr val="FFFFFF"/>
                </a:solidFill>
              </a:ln>
            </c:spPr>
            <c:extLst>
              <c:ext xmlns:c16="http://schemas.microsoft.com/office/drawing/2014/chart" uri="{C3380CC4-5D6E-409C-BE32-E72D297353CC}">
                <c16:uniqueId val="{00000005-8A7C-4A6A-AA14-81673F9AC47C}"/>
              </c:ext>
            </c:extLst>
          </c:dPt>
          <c:dPt>
            <c:idx val="3"/>
            <c:bubble3D val="0"/>
            <c:spPr>
              <a:solidFill>
                <a:srgbClr val="C1D119"/>
              </a:solidFill>
              <a:ln>
                <a:solidFill>
                  <a:srgbClr val="FFFFFF"/>
                </a:solidFill>
              </a:ln>
            </c:spPr>
            <c:extLst>
              <c:ext xmlns:c16="http://schemas.microsoft.com/office/drawing/2014/chart" uri="{C3380CC4-5D6E-409C-BE32-E72D297353CC}">
                <c16:uniqueId val="{00000007-8A7C-4A6A-AA14-81673F9AC47C}"/>
              </c:ext>
            </c:extLst>
          </c:dPt>
          <c:dPt>
            <c:idx val="4"/>
            <c:bubble3D val="0"/>
            <c:spPr>
              <a:solidFill>
                <a:srgbClr val="E84A38"/>
              </a:solidFill>
              <a:ln>
                <a:solidFill>
                  <a:srgbClr val="FFFFFF"/>
                </a:solidFill>
              </a:ln>
            </c:spPr>
            <c:extLst>
              <c:ext xmlns:c16="http://schemas.microsoft.com/office/drawing/2014/chart" uri="{C3380CC4-5D6E-409C-BE32-E72D297353CC}">
                <c16:uniqueId val="{00000009-8A7C-4A6A-AA14-81673F9AC47C}"/>
              </c:ext>
            </c:extLst>
          </c:dPt>
          <c:dPt>
            <c:idx val="5"/>
            <c:bubble3D val="0"/>
            <c:spPr>
              <a:solidFill>
                <a:srgbClr val="55585A"/>
              </a:solidFill>
              <a:ln>
                <a:solidFill>
                  <a:srgbClr val="FFFFFF"/>
                </a:solidFill>
              </a:ln>
            </c:spPr>
            <c:extLst>
              <c:ext xmlns:c16="http://schemas.microsoft.com/office/drawing/2014/chart" uri="{C3380CC4-5D6E-409C-BE32-E72D297353CC}">
                <c16:uniqueId val="{0000000B-8A7C-4A6A-AA14-81673F9AC47C}"/>
              </c:ext>
            </c:extLst>
          </c:dPt>
          <c:cat>
            <c:strRef>
              <c:f>'NS beam trawl over 300kW'!$G$77:$G$82</c:f>
              <c:strCache>
                <c:ptCount val="6"/>
                <c:pt idx="0">
                  <c:v>Plaice - 61.4%</c:v>
                </c:pt>
                <c:pt idx="1">
                  <c:v>Sole - 18.7%</c:v>
                </c:pt>
                <c:pt idx="2">
                  <c:v>Turbot - 10.8%</c:v>
                </c:pt>
                <c:pt idx="3">
                  <c:v>Brill - 2.4%</c:v>
                </c:pt>
                <c:pt idx="4">
                  <c:v>Lemon Sole - 1.9%</c:v>
                </c:pt>
                <c:pt idx="5">
                  <c:v>Others - 4.8%</c:v>
                </c:pt>
              </c:strCache>
            </c:strRef>
          </c:cat>
          <c:val>
            <c:numRef>
              <c:f>'NS beam trawl over 300kW'!$H$77:$H$82</c:f>
              <c:numCache>
                <c:formatCode>0.0%</c:formatCode>
                <c:ptCount val="6"/>
                <c:pt idx="0">
                  <c:v>0.61413084476037771</c:v>
                </c:pt>
                <c:pt idx="1">
                  <c:v>0.1870722271052549</c:v>
                </c:pt>
                <c:pt idx="2">
                  <c:v>0.10769929237697697</c:v>
                </c:pt>
                <c:pt idx="3">
                  <c:v>2.4170106827291728E-2</c:v>
                </c:pt>
                <c:pt idx="4">
                  <c:v>1.9426790197776714E-2</c:v>
                </c:pt>
                <c:pt idx="5">
                  <c:v>4.7500738732321968E-2</c:v>
                </c:pt>
              </c:numCache>
            </c:numRef>
          </c:val>
          <c:extLst>
            <c:ext xmlns:c16="http://schemas.microsoft.com/office/drawing/2014/chart" uri="{C3380CC4-5D6E-409C-BE32-E72D297353CC}">
              <c16:uniqueId val="{0000000C-8A7C-4A6A-AA14-81673F9AC47C}"/>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over 300kW'!$K$77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 beam trawl over 300kW'!$C$92</c:f>
              <c:strCache>
                <c:ptCount val="1"/>
                <c:pt idx="0">
                  <c:v>Plaice</c:v>
                </c:pt>
              </c:strCache>
            </c:strRef>
          </c:tx>
          <c:spPr>
            <a:solidFill>
              <a:srgbClr val="2273B9"/>
            </a:solidFill>
            <a:ln>
              <a:solidFill>
                <a:srgbClr val="FFFFFF"/>
              </a:solidFill>
            </a:ln>
          </c:spPr>
          <c:invertIfNegative val="0"/>
          <c:cat>
            <c:numRef>
              <c:f>'NS beam trawl over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over 300kW'!$D$92:$M$92</c:f>
              <c:numCache>
                <c:formatCode>0%</c:formatCode>
                <c:ptCount val="10"/>
                <c:pt idx="0">
                  <c:v>0.63808927959269968</c:v>
                </c:pt>
                <c:pt idx="1">
                  <c:v>0.76045664686255809</c:v>
                </c:pt>
                <c:pt idx="2">
                  <c:v>0.60728518412264054</c:v>
                </c:pt>
                <c:pt idx="3">
                  <c:v>0.56732239820548225</c:v>
                </c:pt>
                <c:pt idx="4">
                  <c:v>0.61144307623912608</c:v>
                </c:pt>
                <c:pt idx="5">
                  <c:v>0.63308344299469987</c:v>
                </c:pt>
                <c:pt idx="6">
                  <c:v>0.6324403583566548</c:v>
                </c:pt>
                <c:pt idx="7">
                  <c:v>0.58373818731099447</c:v>
                </c:pt>
                <c:pt idx="8">
                  <c:v>0.61413084476037771</c:v>
                </c:pt>
                <c:pt idx="9">
                  <c:v>0.4363957992722366</c:v>
                </c:pt>
              </c:numCache>
            </c:numRef>
          </c:val>
          <c:extLst>
            <c:ext xmlns:c16="http://schemas.microsoft.com/office/drawing/2014/chart" uri="{C3380CC4-5D6E-409C-BE32-E72D297353CC}">
              <c16:uniqueId val="{00000000-1146-4AD2-A115-59E62D1703A2}"/>
            </c:ext>
          </c:extLst>
        </c:ser>
        <c:ser>
          <c:idx val="1"/>
          <c:order val="1"/>
          <c:tx>
            <c:strRef>
              <c:f>'NS beam trawl over 300kW'!$C$93</c:f>
              <c:strCache>
                <c:ptCount val="1"/>
                <c:pt idx="0">
                  <c:v>Sole</c:v>
                </c:pt>
              </c:strCache>
            </c:strRef>
          </c:tx>
          <c:spPr>
            <a:solidFill>
              <a:srgbClr val="E87308"/>
            </a:solidFill>
            <a:ln>
              <a:solidFill>
                <a:srgbClr val="FFFFFF"/>
              </a:solidFill>
            </a:ln>
          </c:spPr>
          <c:invertIfNegative val="0"/>
          <c:cat>
            <c:numRef>
              <c:f>'NS beam trawl over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over 300kW'!$D$93:$M$93</c:f>
              <c:numCache>
                <c:formatCode>0%</c:formatCode>
                <c:ptCount val="10"/>
                <c:pt idx="0">
                  <c:v>0.19601702607014657</c:v>
                </c:pt>
                <c:pt idx="1">
                  <c:v>0.10865999785301753</c:v>
                </c:pt>
                <c:pt idx="2">
                  <c:v>0.21436602156158507</c:v>
                </c:pt>
                <c:pt idx="3">
                  <c:v>0.24871472857069629</c:v>
                </c:pt>
                <c:pt idx="4">
                  <c:v>0.24349591157324815</c:v>
                </c:pt>
                <c:pt idx="5">
                  <c:v>0.21811155627052076</c:v>
                </c:pt>
                <c:pt idx="6">
                  <c:v>0.18940823836145826</c:v>
                </c:pt>
                <c:pt idx="7">
                  <c:v>0.21201163599933345</c:v>
                </c:pt>
                <c:pt idx="8">
                  <c:v>0.1870722271052549</c:v>
                </c:pt>
                <c:pt idx="9">
                  <c:v>0.36119298881449063</c:v>
                </c:pt>
              </c:numCache>
            </c:numRef>
          </c:val>
          <c:extLst>
            <c:ext xmlns:c16="http://schemas.microsoft.com/office/drawing/2014/chart" uri="{C3380CC4-5D6E-409C-BE32-E72D297353CC}">
              <c16:uniqueId val="{00000001-1146-4AD2-A115-59E62D1703A2}"/>
            </c:ext>
          </c:extLst>
        </c:ser>
        <c:ser>
          <c:idx val="2"/>
          <c:order val="2"/>
          <c:tx>
            <c:strRef>
              <c:f>'NS beam trawl over 300kW'!$C$94</c:f>
              <c:strCache>
                <c:ptCount val="1"/>
                <c:pt idx="0">
                  <c:v>Turbot</c:v>
                </c:pt>
              </c:strCache>
            </c:strRef>
          </c:tx>
          <c:spPr>
            <a:solidFill>
              <a:srgbClr val="648C2E"/>
            </a:solidFill>
            <a:ln>
              <a:solidFill>
                <a:srgbClr val="FFFFFF"/>
              </a:solidFill>
            </a:ln>
          </c:spPr>
          <c:invertIfNegative val="0"/>
          <c:cat>
            <c:numRef>
              <c:f>'NS beam trawl over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over 300kW'!$D$94:$M$94</c:f>
              <c:numCache>
                <c:formatCode>0%</c:formatCode>
                <c:ptCount val="10"/>
                <c:pt idx="0">
                  <c:v>8.1393481453667052E-2</c:v>
                </c:pt>
                <c:pt idx="1">
                  <c:v>6.389568900357287E-2</c:v>
                </c:pt>
                <c:pt idx="2">
                  <c:v>9.1265225932750729E-2</c:v>
                </c:pt>
                <c:pt idx="3">
                  <c:v>9.8087758821706089E-2</c:v>
                </c:pt>
                <c:pt idx="4">
                  <c:v>6.7248349211095654E-2</c:v>
                </c:pt>
                <c:pt idx="5">
                  <c:v>6.9567226968196449E-2</c:v>
                </c:pt>
                <c:pt idx="6">
                  <c:v>8.7140264736357012E-2</c:v>
                </c:pt>
                <c:pt idx="7">
                  <c:v>0.1053274513389376</c:v>
                </c:pt>
                <c:pt idx="8">
                  <c:v>0.10769929237697697</c:v>
                </c:pt>
                <c:pt idx="9">
                  <c:v>0.10471601767152863</c:v>
                </c:pt>
              </c:numCache>
            </c:numRef>
          </c:val>
          <c:extLst>
            <c:ext xmlns:c16="http://schemas.microsoft.com/office/drawing/2014/chart" uri="{C3380CC4-5D6E-409C-BE32-E72D297353CC}">
              <c16:uniqueId val="{00000002-1146-4AD2-A115-59E62D1703A2}"/>
            </c:ext>
          </c:extLst>
        </c:ser>
        <c:ser>
          <c:idx val="3"/>
          <c:order val="3"/>
          <c:tx>
            <c:strRef>
              <c:f>'NS beam trawl over 300kW'!$C$95</c:f>
              <c:strCache>
                <c:ptCount val="1"/>
                <c:pt idx="0">
                  <c:v>Brill</c:v>
                </c:pt>
              </c:strCache>
            </c:strRef>
          </c:tx>
          <c:spPr>
            <a:solidFill>
              <a:srgbClr val="C1D119"/>
            </a:solidFill>
            <a:ln>
              <a:solidFill>
                <a:srgbClr val="FFFFFF"/>
              </a:solidFill>
            </a:ln>
          </c:spPr>
          <c:invertIfNegative val="0"/>
          <c:cat>
            <c:numRef>
              <c:f>'NS beam trawl over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over 300kW'!$D$95:$M$95</c:f>
              <c:numCache>
                <c:formatCode>0%</c:formatCode>
                <c:ptCount val="10"/>
                <c:pt idx="0">
                  <c:v>2.348023787220575E-2</c:v>
                </c:pt>
                <c:pt idx="1">
                  <c:v>1.6398361953304869E-2</c:v>
                </c:pt>
                <c:pt idx="2">
                  <c:v>2.68597304623709E-2</c:v>
                </c:pt>
                <c:pt idx="3">
                  <c:v>2.9303678645102822E-2</c:v>
                </c:pt>
                <c:pt idx="4">
                  <c:v>2.2720030122114532E-2</c:v>
                </c:pt>
                <c:pt idx="5">
                  <c:v>2.5137627751856531E-2</c:v>
                </c:pt>
                <c:pt idx="6">
                  <c:v>2.8458328704258972E-2</c:v>
                </c:pt>
                <c:pt idx="7">
                  <c:v>3.0585245774404385E-2</c:v>
                </c:pt>
                <c:pt idx="8">
                  <c:v>2.4170106827291728E-2</c:v>
                </c:pt>
                <c:pt idx="9">
                  <c:v>2.9913993482356332E-2</c:v>
                </c:pt>
              </c:numCache>
            </c:numRef>
          </c:val>
          <c:extLst>
            <c:ext xmlns:c16="http://schemas.microsoft.com/office/drawing/2014/chart" uri="{C3380CC4-5D6E-409C-BE32-E72D297353CC}">
              <c16:uniqueId val="{00000003-1146-4AD2-A115-59E62D1703A2}"/>
            </c:ext>
          </c:extLst>
        </c:ser>
        <c:ser>
          <c:idx val="4"/>
          <c:order val="4"/>
          <c:tx>
            <c:strRef>
              <c:f>'NS beam trawl over 300kW'!$C$96</c:f>
              <c:strCache>
                <c:ptCount val="1"/>
                <c:pt idx="0">
                  <c:v>Lemon Sole</c:v>
                </c:pt>
              </c:strCache>
            </c:strRef>
          </c:tx>
          <c:spPr>
            <a:solidFill>
              <a:srgbClr val="E84A38"/>
            </a:solidFill>
            <a:ln>
              <a:solidFill>
                <a:srgbClr val="FFFFFF"/>
              </a:solidFill>
            </a:ln>
          </c:spPr>
          <c:invertIfNegative val="0"/>
          <c:cat>
            <c:numRef>
              <c:f>'NS beam trawl over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over 300kW'!$D$96:$M$96</c:f>
              <c:numCache>
                <c:formatCode>0%</c:formatCode>
                <c:ptCount val="10"/>
                <c:pt idx="0">
                  <c:v>2.8512945550644167E-2</c:v>
                </c:pt>
                <c:pt idx="1">
                  <c:v>1.7083189914302514E-2</c:v>
                </c:pt>
                <c:pt idx="2">
                  <c:v>2.263898476694105E-2</c:v>
                </c:pt>
                <c:pt idx="3">
                  <c:v>2.5202441287532809E-2</c:v>
                </c:pt>
                <c:pt idx="4">
                  <c:v>2.7082498270080774E-2</c:v>
                </c:pt>
                <c:pt idx="5">
                  <c:v>2.3046375667735031E-2</c:v>
                </c:pt>
                <c:pt idx="6">
                  <c:v>2.8785507185359726E-2</c:v>
                </c:pt>
                <c:pt idx="7">
                  <c:v>2.1025521728858163E-2</c:v>
                </c:pt>
                <c:pt idx="8">
                  <c:v>1.9426790197776714E-2</c:v>
                </c:pt>
              </c:numCache>
            </c:numRef>
          </c:val>
          <c:extLst>
            <c:ext xmlns:c16="http://schemas.microsoft.com/office/drawing/2014/chart" uri="{C3380CC4-5D6E-409C-BE32-E72D297353CC}">
              <c16:uniqueId val="{00000004-1146-4AD2-A115-59E62D1703A2}"/>
            </c:ext>
          </c:extLst>
        </c:ser>
        <c:ser>
          <c:idx val="5"/>
          <c:order val="5"/>
          <c:tx>
            <c:strRef>
              <c:f>'NS beam trawl over 300kW'!$C$97</c:f>
              <c:strCache>
                <c:ptCount val="1"/>
                <c:pt idx="0">
                  <c:v>Dabs</c:v>
                </c:pt>
              </c:strCache>
            </c:strRef>
          </c:tx>
          <c:spPr>
            <a:solidFill>
              <a:srgbClr val="0F9AA9"/>
            </a:solidFill>
            <a:ln>
              <a:solidFill>
                <a:srgbClr val="FFFFFF"/>
              </a:solidFill>
            </a:ln>
          </c:spPr>
          <c:invertIfNegative val="0"/>
          <c:cat>
            <c:numRef>
              <c:f>'NS beam trawl over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over 300kW'!$D$97:$M$97</c:f>
              <c:numCache>
                <c:formatCode>0%</c:formatCode>
                <c:ptCount val="10"/>
                <c:pt idx="9">
                  <c:v>1.4118820812988705E-2</c:v>
                </c:pt>
              </c:numCache>
            </c:numRef>
          </c:val>
          <c:extLst>
            <c:ext xmlns:c16="http://schemas.microsoft.com/office/drawing/2014/chart" uri="{C3380CC4-5D6E-409C-BE32-E72D297353CC}">
              <c16:uniqueId val="{00000005-1146-4AD2-A115-59E62D1703A2}"/>
            </c:ext>
          </c:extLst>
        </c:ser>
        <c:ser>
          <c:idx val="6"/>
          <c:order val="6"/>
          <c:tx>
            <c:strRef>
              <c:f>'NS beam trawl over 300kW'!$C$98</c:f>
              <c:strCache>
                <c:ptCount val="1"/>
                <c:pt idx="0">
                  <c:v>Others</c:v>
                </c:pt>
              </c:strCache>
            </c:strRef>
          </c:tx>
          <c:spPr>
            <a:solidFill>
              <a:srgbClr val="55585A"/>
            </a:solidFill>
            <a:ln>
              <a:solidFill>
                <a:srgbClr val="FFFFFF"/>
              </a:solidFill>
            </a:ln>
          </c:spPr>
          <c:invertIfNegative val="0"/>
          <c:cat>
            <c:numRef>
              <c:f>'NS beam trawl over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over 300kW'!$D$98:$M$98</c:f>
              <c:numCache>
                <c:formatCode>0%</c:formatCode>
                <c:ptCount val="10"/>
                <c:pt idx="0">
                  <c:v>3.2507029460636751E-2</c:v>
                </c:pt>
                <c:pt idx="1">
                  <c:v>3.350611441324413E-2</c:v>
                </c:pt>
                <c:pt idx="2">
                  <c:v>3.7584853153711691E-2</c:v>
                </c:pt>
                <c:pt idx="3">
                  <c:v>3.1368994469479793E-2</c:v>
                </c:pt>
                <c:pt idx="4">
                  <c:v>2.8010134584334784E-2</c:v>
                </c:pt>
                <c:pt idx="5">
                  <c:v>3.105377034699134E-2</c:v>
                </c:pt>
                <c:pt idx="6">
                  <c:v>3.3767302655911283E-2</c:v>
                </c:pt>
                <c:pt idx="7">
                  <c:v>4.7311957847471942E-2</c:v>
                </c:pt>
                <c:pt idx="8">
                  <c:v>4.7500738732321982E-2</c:v>
                </c:pt>
                <c:pt idx="9">
                  <c:v>5.3662379946399108E-2</c:v>
                </c:pt>
              </c:numCache>
            </c:numRef>
          </c:val>
          <c:extLst>
            <c:ext xmlns:c16="http://schemas.microsoft.com/office/drawing/2014/chart" uri="{C3380CC4-5D6E-409C-BE32-E72D297353CC}">
              <c16:uniqueId val="{00000006-1146-4AD2-A115-59E62D1703A2}"/>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o250kW'!$A$48</c:f>
          <c:strCache>
            <c:ptCount val="1"/>
            <c:pt idx="0">
              <c:v>Landings per kW day at sea (kg)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89B5-465B-B658-801C0A6FF4E4}"/>
              </c:ext>
            </c:extLst>
          </c:dPt>
          <c:dPt>
            <c:idx val="10"/>
            <c:bubble3D val="0"/>
            <c:spPr>
              <a:ln w="57150">
                <a:solidFill>
                  <a:srgbClr val="2273B9"/>
                </a:solidFill>
                <a:prstDash val="sysDot"/>
              </a:ln>
            </c:spPr>
            <c:extLst>
              <c:ext xmlns:c16="http://schemas.microsoft.com/office/drawing/2014/chart" uri="{C3380CC4-5D6E-409C-BE32-E72D297353CC}">
                <c16:uniqueId val="{00000003-89B5-465B-B658-801C0A6FF4E4}"/>
              </c:ext>
            </c:extLst>
          </c:dPt>
          <c:cat>
            <c:numRef>
              <c:f>'Area VIIa nephrops o250kW'!$D$2:$N$2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'Area VIIa nephrops o250kW'!$D$21:$N$21</c:f>
              <c:numCache>
                <c:formatCode>#,##0.00</c:formatCode>
                <c:ptCount val="11"/>
                <c:pt idx="0">
                  <c:v>2.258428532837454</c:v>
                </c:pt>
                <c:pt idx="1">
                  <c:v>2.6763904818963438</c:v>
                </c:pt>
                <c:pt idx="2">
                  <c:v>2.493757903178019</c:v>
                </c:pt>
                <c:pt idx="3">
                  <c:v>2.2692347110750757</c:v>
                </c:pt>
                <c:pt idx="4">
                  <c:v>2.1480577556572968</c:v>
                </c:pt>
                <c:pt idx="5">
                  <c:v>2.4498943991317526</c:v>
                </c:pt>
                <c:pt idx="6">
                  <c:v>2.4082925636584998</c:v>
                </c:pt>
                <c:pt idx="7">
                  <c:v>2.474903497071852</c:v>
                </c:pt>
                <c:pt idx="8">
                  <c:v>2.3431638033052349</c:v>
                </c:pt>
                <c:pt idx="9">
                  <c:v>2.622688883604738</c:v>
                </c:pt>
                <c:pt idx="10">
                  <c:v>2.937787432266024</c:v>
                </c:pt>
              </c:numCache>
            </c:numRef>
          </c:val>
          <c:smooth val="0"/>
          <c:extLst>
            <c:ext xmlns:c16="http://schemas.microsoft.com/office/drawing/2014/chart" uri="{C3380CC4-5D6E-409C-BE32-E72D297353CC}">
              <c16:uniqueId val="{00000004-89B5-465B-B658-801C0A6FF4E4}"/>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 beam trawl over 300kW'!$B$162</c:f>
              <c:strCache>
                <c:ptCount val="1"/>
                <c:pt idx="0">
                  <c:v>Plaice</c:v>
                </c:pt>
              </c:strCache>
            </c:strRef>
          </c:tx>
          <c:spPr>
            <a:solidFill>
              <a:srgbClr val="2273B9"/>
            </a:solidFill>
            <a:ln>
              <a:solidFill>
                <a:srgbClr val="FFFFFF"/>
              </a:solidFill>
            </a:ln>
          </c:spPr>
          <c:invertIfNegative val="0"/>
          <c:cat>
            <c:strRef>
              <c:f>'NS beam trawl over 300kW'!$C$161:$E$161</c:f>
              <c:strCache>
                <c:ptCount val="3"/>
                <c:pt idx="0">
                  <c:v>Most
profitable
quartile</c:v>
                </c:pt>
                <c:pt idx="1">
                  <c:v>Middle 
two quartiles</c:v>
                </c:pt>
                <c:pt idx="2">
                  <c:v>Least
profitable
quartile</c:v>
                </c:pt>
              </c:strCache>
            </c:strRef>
          </c:cat>
          <c:val>
            <c:numRef>
              <c:f>'NS beam trawl over 300kW'!$C$162:$E$162</c:f>
              <c:numCache>
                <c:formatCode>0%</c:formatCode>
                <c:ptCount val="3"/>
                <c:pt idx="0">
                  <c:v>0</c:v>
                </c:pt>
                <c:pt idx="1">
                  <c:v>0</c:v>
                </c:pt>
                <c:pt idx="2">
                  <c:v>0</c:v>
                </c:pt>
              </c:numCache>
            </c:numRef>
          </c:val>
          <c:extLst>
            <c:ext xmlns:c16="http://schemas.microsoft.com/office/drawing/2014/chart" uri="{C3380CC4-5D6E-409C-BE32-E72D297353CC}">
              <c16:uniqueId val="{00000000-ED35-420C-8D9D-0504BCDF25DE}"/>
            </c:ext>
          </c:extLst>
        </c:ser>
        <c:ser>
          <c:idx val="1"/>
          <c:order val="1"/>
          <c:tx>
            <c:strRef>
              <c:f>'NS beam trawl over 300kW'!$B$163</c:f>
              <c:strCache>
                <c:ptCount val="1"/>
                <c:pt idx="0">
                  <c:v>Dabs</c:v>
                </c:pt>
              </c:strCache>
            </c:strRef>
          </c:tx>
          <c:spPr>
            <a:solidFill>
              <a:srgbClr val="0F9AA9"/>
            </a:solidFill>
            <a:ln>
              <a:solidFill>
                <a:srgbClr val="FFFFFF"/>
              </a:solidFill>
            </a:ln>
          </c:spPr>
          <c:invertIfNegative val="0"/>
          <c:cat>
            <c:strRef>
              <c:f>'NS beam trawl over 300kW'!$C$161:$E$161</c:f>
              <c:strCache>
                <c:ptCount val="3"/>
                <c:pt idx="0">
                  <c:v>Most
profitable
quartile</c:v>
                </c:pt>
                <c:pt idx="1">
                  <c:v>Middle 
two quartiles</c:v>
                </c:pt>
                <c:pt idx="2">
                  <c:v>Least
profitable
quartile</c:v>
                </c:pt>
              </c:strCache>
            </c:strRef>
          </c:cat>
          <c:val>
            <c:numRef>
              <c:f>'NS beam trawl over 300kW'!$C$163:$E$163</c:f>
              <c:numCache>
                <c:formatCode>0%</c:formatCode>
                <c:ptCount val="3"/>
                <c:pt idx="0">
                  <c:v>0</c:v>
                </c:pt>
                <c:pt idx="1">
                  <c:v>0</c:v>
                </c:pt>
                <c:pt idx="2">
                  <c:v>0</c:v>
                </c:pt>
              </c:numCache>
            </c:numRef>
          </c:val>
          <c:extLst>
            <c:ext xmlns:c16="http://schemas.microsoft.com/office/drawing/2014/chart" uri="{C3380CC4-5D6E-409C-BE32-E72D297353CC}">
              <c16:uniqueId val="{00000001-ED35-420C-8D9D-0504BCDF25DE}"/>
            </c:ext>
          </c:extLst>
        </c:ser>
        <c:ser>
          <c:idx val="2"/>
          <c:order val="2"/>
          <c:tx>
            <c:strRef>
              <c:f>'NS beam trawl over 300kW'!$B$164</c:f>
              <c:strCache>
                <c:ptCount val="1"/>
                <c:pt idx="0">
                  <c:v>Turbot</c:v>
                </c:pt>
              </c:strCache>
            </c:strRef>
          </c:tx>
          <c:spPr>
            <a:solidFill>
              <a:srgbClr val="648C2E"/>
            </a:solidFill>
            <a:ln>
              <a:solidFill>
                <a:srgbClr val="FFFFFF"/>
              </a:solidFill>
            </a:ln>
          </c:spPr>
          <c:invertIfNegative val="0"/>
          <c:cat>
            <c:strRef>
              <c:f>'NS beam trawl over 300kW'!$C$161:$E$161</c:f>
              <c:strCache>
                <c:ptCount val="3"/>
                <c:pt idx="0">
                  <c:v>Most
profitable
quartile</c:v>
                </c:pt>
                <c:pt idx="1">
                  <c:v>Middle 
two quartiles</c:v>
                </c:pt>
                <c:pt idx="2">
                  <c:v>Least
profitable
quartile</c:v>
                </c:pt>
              </c:strCache>
            </c:strRef>
          </c:cat>
          <c:val>
            <c:numRef>
              <c:f>'NS beam trawl over 300kW'!$C$164:$E$164</c:f>
              <c:numCache>
                <c:formatCode>0%</c:formatCode>
                <c:ptCount val="3"/>
                <c:pt idx="0">
                  <c:v>0</c:v>
                </c:pt>
                <c:pt idx="1">
                  <c:v>0</c:v>
                </c:pt>
                <c:pt idx="2">
                  <c:v>0</c:v>
                </c:pt>
              </c:numCache>
            </c:numRef>
          </c:val>
          <c:extLst>
            <c:ext xmlns:c16="http://schemas.microsoft.com/office/drawing/2014/chart" uri="{C3380CC4-5D6E-409C-BE32-E72D297353CC}">
              <c16:uniqueId val="{00000002-ED35-420C-8D9D-0504BCDF25DE}"/>
            </c:ext>
          </c:extLst>
        </c:ser>
        <c:ser>
          <c:idx val="3"/>
          <c:order val="3"/>
          <c:tx>
            <c:strRef>
              <c:f>'NS beam trawl over 300kW'!$B$165</c:f>
              <c:strCache>
                <c:ptCount val="1"/>
                <c:pt idx="0">
                  <c:v>Sole</c:v>
                </c:pt>
              </c:strCache>
            </c:strRef>
          </c:tx>
          <c:spPr>
            <a:solidFill>
              <a:srgbClr val="E87308"/>
            </a:solidFill>
            <a:ln>
              <a:solidFill>
                <a:srgbClr val="FFFFFF"/>
              </a:solidFill>
            </a:ln>
          </c:spPr>
          <c:invertIfNegative val="0"/>
          <c:cat>
            <c:strRef>
              <c:f>'NS beam trawl over 300kW'!$C$161:$E$161</c:f>
              <c:strCache>
                <c:ptCount val="3"/>
                <c:pt idx="0">
                  <c:v>Most
profitable
quartile</c:v>
                </c:pt>
                <c:pt idx="1">
                  <c:v>Middle 
two quartiles</c:v>
                </c:pt>
                <c:pt idx="2">
                  <c:v>Least
profitable
quartile</c:v>
                </c:pt>
              </c:strCache>
            </c:strRef>
          </c:cat>
          <c:val>
            <c:numRef>
              <c:f>'NS beam trawl over 300kW'!$C$165:$E$165</c:f>
              <c:numCache>
                <c:formatCode>0%</c:formatCode>
                <c:ptCount val="3"/>
                <c:pt idx="0">
                  <c:v>0</c:v>
                </c:pt>
                <c:pt idx="1">
                  <c:v>0</c:v>
                </c:pt>
                <c:pt idx="2">
                  <c:v>0</c:v>
                </c:pt>
              </c:numCache>
            </c:numRef>
          </c:val>
          <c:extLst>
            <c:ext xmlns:c16="http://schemas.microsoft.com/office/drawing/2014/chart" uri="{C3380CC4-5D6E-409C-BE32-E72D297353CC}">
              <c16:uniqueId val="{00000003-ED35-420C-8D9D-0504BCDF25DE}"/>
            </c:ext>
          </c:extLst>
        </c:ser>
        <c:ser>
          <c:idx val="4"/>
          <c:order val="4"/>
          <c:tx>
            <c:strRef>
              <c:f>'NS beam trawl over 300kW'!$B$166</c:f>
              <c:strCache>
                <c:ptCount val="1"/>
                <c:pt idx="0">
                  <c:v>Brown Crab</c:v>
                </c:pt>
              </c:strCache>
            </c:strRef>
          </c:tx>
          <c:spPr>
            <a:solidFill>
              <a:srgbClr val="FED825"/>
            </a:solidFill>
            <a:ln>
              <a:solidFill>
                <a:srgbClr val="FFFFFF"/>
              </a:solidFill>
            </a:ln>
          </c:spPr>
          <c:invertIfNegative val="0"/>
          <c:cat>
            <c:strRef>
              <c:f>'NS beam trawl over 300kW'!$C$161:$E$161</c:f>
              <c:strCache>
                <c:ptCount val="3"/>
                <c:pt idx="0">
                  <c:v>Most
profitable
quartile</c:v>
                </c:pt>
                <c:pt idx="1">
                  <c:v>Middle 
two quartiles</c:v>
                </c:pt>
                <c:pt idx="2">
                  <c:v>Least
profitable
quartile</c:v>
                </c:pt>
              </c:strCache>
            </c:strRef>
          </c:cat>
          <c:val>
            <c:numRef>
              <c:f>'NS beam trawl over 300kW'!$C$166:$E$166</c:f>
              <c:numCache>
                <c:formatCode>0%</c:formatCode>
                <c:ptCount val="3"/>
                <c:pt idx="0">
                  <c:v>0</c:v>
                </c:pt>
                <c:pt idx="1">
                  <c:v>0</c:v>
                </c:pt>
                <c:pt idx="2">
                  <c:v>0</c:v>
                </c:pt>
              </c:numCache>
            </c:numRef>
          </c:val>
          <c:extLst>
            <c:ext xmlns:c16="http://schemas.microsoft.com/office/drawing/2014/chart" uri="{C3380CC4-5D6E-409C-BE32-E72D297353CC}">
              <c16:uniqueId val="{00000004-ED35-420C-8D9D-0504BCDF25DE}"/>
            </c:ext>
          </c:extLst>
        </c:ser>
        <c:ser>
          <c:idx val="5"/>
          <c:order val="5"/>
          <c:tx>
            <c:strRef>
              <c:f>'NS beam trawl over 300kW'!$B$167</c:f>
              <c:strCache>
                <c:ptCount val="1"/>
                <c:pt idx="0">
                  <c:v>Lemon Sole</c:v>
                </c:pt>
              </c:strCache>
            </c:strRef>
          </c:tx>
          <c:spPr>
            <a:solidFill>
              <a:srgbClr val="E84A38"/>
            </a:solidFill>
            <a:ln>
              <a:solidFill>
                <a:srgbClr val="FFFFFF"/>
              </a:solidFill>
            </a:ln>
          </c:spPr>
          <c:invertIfNegative val="0"/>
          <c:cat>
            <c:strRef>
              <c:f>'NS beam trawl over 300kW'!$C$161:$E$161</c:f>
              <c:strCache>
                <c:ptCount val="3"/>
                <c:pt idx="0">
                  <c:v>Most
profitable
quartile</c:v>
                </c:pt>
                <c:pt idx="1">
                  <c:v>Middle 
two quartiles</c:v>
                </c:pt>
                <c:pt idx="2">
                  <c:v>Least
profitable
quartile</c:v>
                </c:pt>
              </c:strCache>
            </c:strRef>
          </c:cat>
          <c:val>
            <c:numRef>
              <c:f>'NS beam trawl over 300kW'!$C$167:$E$167</c:f>
              <c:numCache>
                <c:formatCode>0%</c:formatCode>
                <c:ptCount val="3"/>
                <c:pt idx="0">
                  <c:v>0</c:v>
                </c:pt>
                <c:pt idx="1">
                  <c:v>0</c:v>
                </c:pt>
                <c:pt idx="2">
                  <c:v>0</c:v>
                </c:pt>
              </c:numCache>
            </c:numRef>
          </c:val>
          <c:extLst>
            <c:ext xmlns:c16="http://schemas.microsoft.com/office/drawing/2014/chart" uri="{C3380CC4-5D6E-409C-BE32-E72D297353CC}">
              <c16:uniqueId val="{00000005-ED35-420C-8D9D-0504BCDF25DE}"/>
            </c:ext>
          </c:extLst>
        </c:ser>
        <c:ser>
          <c:idx val="6"/>
          <c:order val="6"/>
          <c:tx>
            <c:strRef>
              <c:f>'NS beam trawl over 300kW'!$B$168</c:f>
              <c:strCache>
                <c:ptCount val="1"/>
                <c:pt idx="0">
                  <c:v>Brill</c:v>
                </c:pt>
              </c:strCache>
            </c:strRef>
          </c:tx>
          <c:spPr>
            <a:solidFill>
              <a:srgbClr val="C1D119"/>
            </a:solidFill>
            <a:ln>
              <a:solidFill>
                <a:srgbClr val="FFFFFF"/>
              </a:solidFill>
            </a:ln>
          </c:spPr>
          <c:invertIfNegative val="0"/>
          <c:cat>
            <c:strRef>
              <c:f>'NS beam trawl over 300kW'!$C$161:$E$161</c:f>
              <c:strCache>
                <c:ptCount val="3"/>
                <c:pt idx="0">
                  <c:v>Most
profitable
quartile</c:v>
                </c:pt>
                <c:pt idx="1">
                  <c:v>Middle 
two quartiles</c:v>
                </c:pt>
                <c:pt idx="2">
                  <c:v>Least
profitable
quartile</c:v>
                </c:pt>
              </c:strCache>
            </c:strRef>
          </c:cat>
          <c:val>
            <c:numRef>
              <c:f>'NS beam trawl over 300kW'!$C$168:$E$168</c:f>
              <c:numCache>
                <c:formatCode>0%</c:formatCode>
                <c:ptCount val="3"/>
                <c:pt idx="0">
                  <c:v>0</c:v>
                </c:pt>
                <c:pt idx="1">
                  <c:v>0</c:v>
                </c:pt>
                <c:pt idx="2">
                  <c:v>0</c:v>
                </c:pt>
              </c:numCache>
            </c:numRef>
          </c:val>
          <c:extLst>
            <c:ext xmlns:c16="http://schemas.microsoft.com/office/drawing/2014/chart" uri="{C3380CC4-5D6E-409C-BE32-E72D297353CC}">
              <c16:uniqueId val="{00000006-ED35-420C-8D9D-0504BCDF25DE}"/>
            </c:ext>
          </c:extLst>
        </c:ser>
        <c:ser>
          <c:idx val="7"/>
          <c:order val="7"/>
          <c:tx>
            <c:strRef>
              <c:f>'NS beam trawl over 300kW'!$B$169</c:f>
              <c:strCache>
                <c:ptCount val="1"/>
                <c:pt idx="0">
                  <c:v>Others</c:v>
                </c:pt>
              </c:strCache>
            </c:strRef>
          </c:tx>
          <c:spPr>
            <a:solidFill>
              <a:srgbClr val="55585A"/>
            </a:solidFill>
            <a:ln>
              <a:solidFill>
                <a:srgbClr val="FFFFFF"/>
              </a:solidFill>
            </a:ln>
          </c:spPr>
          <c:invertIfNegative val="0"/>
          <c:cat>
            <c:strRef>
              <c:f>'NS beam trawl over 300kW'!$C$161:$E$161</c:f>
              <c:strCache>
                <c:ptCount val="3"/>
                <c:pt idx="0">
                  <c:v>Most
profitable
quartile</c:v>
                </c:pt>
                <c:pt idx="1">
                  <c:v>Middle 
two quartiles</c:v>
                </c:pt>
                <c:pt idx="2">
                  <c:v>Least
profitable
quartile</c:v>
                </c:pt>
              </c:strCache>
            </c:strRef>
          </c:cat>
          <c:val>
            <c:numRef>
              <c:f>'NS beam trawl over 300kW'!$C$169:$E$169</c:f>
              <c:numCache>
                <c:formatCode>0%</c:formatCode>
                <c:ptCount val="3"/>
                <c:pt idx="0">
                  <c:v>0</c:v>
                </c:pt>
                <c:pt idx="1">
                  <c:v>0</c:v>
                </c:pt>
                <c:pt idx="2">
                  <c:v>0</c:v>
                </c:pt>
              </c:numCache>
            </c:numRef>
          </c:val>
          <c:extLst>
            <c:ext xmlns:c16="http://schemas.microsoft.com/office/drawing/2014/chart" uri="{C3380CC4-5D6E-409C-BE32-E72D297353CC}">
              <c16:uniqueId val="{00000007-ED35-420C-8D9D-0504BCDF25DE}"/>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 beam trawl over 300kW'!$H$162</c:f>
              <c:strCache>
                <c:ptCount val="1"/>
                <c:pt idx="0">
                  <c:v>Plaice</c:v>
                </c:pt>
              </c:strCache>
            </c:strRef>
          </c:tx>
          <c:spPr>
            <a:solidFill>
              <a:srgbClr val="2273B9"/>
            </a:solidFill>
            <a:ln>
              <a:solidFill>
                <a:srgbClr val="FFFFFF"/>
              </a:solidFill>
            </a:ln>
          </c:spPr>
          <c:invertIfNegative val="0"/>
          <c:cat>
            <c:strRef>
              <c:f>'NS beam trawl over 300kW'!$I$161:$K$161</c:f>
              <c:strCache>
                <c:ptCount val="3"/>
                <c:pt idx="0">
                  <c:v>Most
profitable
quartile</c:v>
                </c:pt>
                <c:pt idx="1">
                  <c:v>Middle 
two quartiles</c:v>
                </c:pt>
                <c:pt idx="2">
                  <c:v>Least
profitable
quartile</c:v>
                </c:pt>
              </c:strCache>
            </c:strRef>
          </c:cat>
          <c:val>
            <c:numRef>
              <c:f>'NS beam trawl over 300kW'!$I$162:$K$162</c:f>
              <c:numCache>
                <c:formatCode>0%</c:formatCode>
                <c:ptCount val="3"/>
                <c:pt idx="0">
                  <c:v>0</c:v>
                </c:pt>
                <c:pt idx="1">
                  <c:v>0</c:v>
                </c:pt>
                <c:pt idx="2">
                  <c:v>0</c:v>
                </c:pt>
              </c:numCache>
            </c:numRef>
          </c:val>
          <c:extLst>
            <c:ext xmlns:c16="http://schemas.microsoft.com/office/drawing/2014/chart" uri="{C3380CC4-5D6E-409C-BE32-E72D297353CC}">
              <c16:uniqueId val="{00000000-F0AA-47BF-A1A9-4A712F97DAFD}"/>
            </c:ext>
          </c:extLst>
        </c:ser>
        <c:ser>
          <c:idx val="1"/>
          <c:order val="1"/>
          <c:tx>
            <c:strRef>
              <c:f>'NS beam trawl over 300kW'!$H$163</c:f>
              <c:strCache>
                <c:ptCount val="1"/>
                <c:pt idx="0">
                  <c:v>Sole</c:v>
                </c:pt>
              </c:strCache>
            </c:strRef>
          </c:tx>
          <c:spPr>
            <a:solidFill>
              <a:srgbClr val="E87308"/>
            </a:solidFill>
            <a:ln>
              <a:solidFill>
                <a:srgbClr val="FFFFFF"/>
              </a:solidFill>
            </a:ln>
          </c:spPr>
          <c:invertIfNegative val="0"/>
          <c:cat>
            <c:strRef>
              <c:f>'NS beam trawl over 300kW'!$I$161:$K$161</c:f>
              <c:strCache>
                <c:ptCount val="3"/>
                <c:pt idx="0">
                  <c:v>Most
profitable
quartile</c:v>
                </c:pt>
                <c:pt idx="1">
                  <c:v>Middle 
two quartiles</c:v>
                </c:pt>
                <c:pt idx="2">
                  <c:v>Least
profitable
quartile</c:v>
                </c:pt>
              </c:strCache>
            </c:strRef>
          </c:cat>
          <c:val>
            <c:numRef>
              <c:f>'NS beam trawl over 300kW'!$I$163:$K$163</c:f>
              <c:numCache>
                <c:formatCode>0%</c:formatCode>
                <c:ptCount val="3"/>
                <c:pt idx="0">
                  <c:v>0</c:v>
                </c:pt>
                <c:pt idx="1">
                  <c:v>0</c:v>
                </c:pt>
                <c:pt idx="2">
                  <c:v>0</c:v>
                </c:pt>
              </c:numCache>
            </c:numRef>
          </c:val>
          <c:extLst>
            <c:ext xmlns:c16="http://schemas.microsoft.com/office/drawing/2014/chart" uri="{C3380CC4-5D6E-409C-BE32-E72D297353CC}">
              <c16:uniqueId val="{00000001-F0AA-47BF-A1A9-4A712F97DAFD}"/>
            </c:ext>
          </c:extLst>
        </c:ser>
        <c:ser>
          <c:idx val="2"/>
          <c:order val="2"/>
          <c:tx>
            <c:strRef>
              <c:f>'NS beam trawl over 300kW'!$H$164</c:f>
              <c:strCache>
                <c:ptCount val="1"/>
                <c:pt idx="0">
                  <c:v>Turbot</c:v>
                </c:pt>
              </c:strCache>
            </c:strRef>
          </c:tx>
          <c:spPr>
            <a:solidFill>
              <a:srgbClr val="648C2E"/>
            </a:solidFill>
            <a:ln>
              <a:solidFill>
                <a:srgbClr val="FFFFFF"/>
              </a:solidFill>
            </a:ln>
          </c:spPr>
          <c:invertIfNegative val="0"/>
          <c:cat>
            <c:strRef>
              <c:f>'NS beam trawl over 300kW'!$I$161:$K$161</c:f>
              <c:strCache>
                <c:ptCount val="3"/>
                <c:pt idx="0">
                  <c:v>Most
profitable
quartile</c:v>
                </c:pt>
                <c:pt idx="1">
                  <c:v>Middle 
two quartiles</c:v>
                </c:pt>
                <c:pt idx="2">
                  <c:v>Least
profitable
quartile</c:v>
                </c:pt>
              </c:strCache>
            </c:strRef>
          </c:cat>
          <c:val>
            <c:numRef>
              <c:f>'NS beam trawl over 300kW'!$I$164:$K$164</c:f>
              <c:numCache>
                <c:formatCode>0%</c:formatCode>
                <c:ptCount val="3"/>
                <c:pt idx="0">
                  <c:v>0</c:v>
                </c:pt>
                <c:pt idx="1">
                  <c:v>0</c:v>
                </c:pt>
                <c:pt idx="2">
                  <c:v>0</c:v>
                </c:pt>
              </c:numCache>
            </c:numRef>
          </c:val>
          <c:extLst>
            <c:ext xmlns:c16="http://schemas.microsoft.com/office/drawing/2014/chart" uri="{C3380CC4-5D6E-409C-BE32-E72D297353CC}">
              <c16:uniqueId val="{00000002-F0AA-47BF-A1A9-4A712F97DAFD}"/>
            </c:ext>
          </c:extLst>
        </c:ser>
        <c:ser>
          <c:idx val="3"/>
          <c:order val="3"/>
          <c:tx>
            <c:strRef>
              <c:f>'NS beam trawl over 300kW'!$H$165</c:f>
              <c:strCache>
                <c:ptCount val="1"/>
                <c:pt idx="0">
                  <c:v>Brill</c:v>
                </c:pt>
              </c:strCache>
            </c:strRef>
          </c:tx>
          <c:spPr>
            <a:solidFill>
              <a:srgbClr val="C1D119"/>
            </a:solidFill>
            <a:ln>
              <a:solidFill>
                <a:srgbClr val="FFFFFF"/>
              </a:solidFill>
            </a:ln>
          </c:spPr>
          <c:invertIfNegative val="0"/>
          <c:cat>
            <c:strRef>
              <c:f>'NS beam trawl over 300kW'!$I$161:$K$161</c:f>
              <c:strCache>
                <c:ptCount val="3"/>
                <c:pt idx="0">
                  <c:v>Most
profitable
quartile</c:v>
                </c:pt>
                <c:pt idx="1">
                  <c:v>Middle 
two quartiles</c:v>
                </c:pt>
                <c:pt idx="2">
                  <c:v>Least
profitable
quartile</c:v>
                </c:pt>
              </c:strCache>
            </c:strRef>
          </c:cat>
          <c:val>
            <c:numRef>
              <c:f>'NS beam trawl over 300kW'!$I$165:$K$165</c:f>
              <c:numCache>
                <c:formatCode>0%</c:formatCode>
                <c:ptCount val="3"/>
                <c:pt idx="0">
                  <c:v>0</c:v>
                </c:pt>
                <c:pt idx="1">
                  <c:v>0</c:v>
                </c:pt>
                <c:pt idx="2">
                  <c:v>0</c:v>
                </c:pt>
              </c:numCache>
            </c:numRef>
          </c:val>
          <c:extLst>
            <c:ext xmlns:c16="http://schemas.microsoft.com/office/drawing/2014/chart" uri="{C3380CC4-5D6E-409C-BE32-E72D297353CC}">
              <c16:uniqueId val="{00000003-F0AA-47BF-A1A9-4A712F97DAFD}"/>
            </c:ext>
          </c:extLst>
        </c:ser>
        <c:ser>
          <c:idx val="4"/>
          <c:order val="4"/>
          <c:tx>
            <c:strRef>
              <c:f>'NS beam trawl over 300kW'!$H$166</c:f>
              <c:strCache>
                <c:ptCount val="1"/>
                <c:pt idx="0">
                  <c:v>Dabs</c:v>
                </c:pt>
              </c:strCache>
            </c:strRef>
          </c:tx>
          <c:spPr>
            <a:solidFill>
              <a:srgbClr val="0F9AA9"/>
            </a:solidFill>
            <a:ln>
              <a:solidFill>
                <a:srgbClr val="FFFFFF"/>
              </a:solidFill>
            </a:ln>
          </c:spPr>
          <c:invertIfNegative val="0"/>
          <c:cat>
            <c:strRef>
              <c:f>'NS beam trawl over 300kW'!$I$161:$K$161</c:f>
              <c:strCache>
                <c:ptCount val="3"/>
                <c:pt idx="0">
                  <c:v>Most
profitable
quartile</c:v>
                </c:pt>
                <c:pt idx="1">
                  <c:v>Middle 
two quartiles</c:v>
                </c:pt>
                <c:pt idx="2">
                  <c:v>Least
profitable
quartile</c:v>
                </c:pt>
              </c:strCache>
            </c:strRef>
          </c:cat>
          <c:val>
            <c:numRef>
              <c:f>'NS beam trawl over 300kW'!$I$166:$K$166</c:f>
              <c:numCache>
                <c:formatCode>0%</c:formatCode>
                <c:ptCount val="3"/>
                <c:pt idx="0">
                  <c:v>0</c:v>
                </c:pt>
                <c:pt idx="1">
                  <c:v>0</c:v>
                </c:pt>
                <c:pt idx="2">
                  <c:v>0</c:v>
                </c:pt>
              </c:numCache>
            </c:numRef>
          </c:val>
          <c:extLst>
            <c:ext xmlns:c16="http://schemas.microsoft.com/office/drawing/2014/chart" uri="{C3380CC4-5D6E-409C-BE32-E72D297353CC}">
              <c16:uniqueId val="{00000004-F0AA-47BF-A1A9-4A712F97DAFD}"/>
            </c:ext>
          </c:extLst>
        </c:ser>
        <c:ser>
          <c:idx val="5"/>
          <c:order val="5"/>
          <c:tx>
            <c:strRef>
              <c:f>'NS beam trawl over 300kW'!$H$167</c:f>
              <c:strCache>
                <c:ptCount val="1"/>
                <c:pt idx="0">
                  <c:v>Lemon Sole</c:v>
                </c:pt>
              </c:strCache>
            </c:strRef>
          </c:tx>
          <c:spPr>
            <a:solidFill>
              <a:srgbClr val="E84A38"/>
            </a:solidFill>
            <a:ln>
              <a:solidFill>
                <a:srgbClr val="FFFFFF"/>
              </a:solidFill>
            </a:ln>
          </c:spPr>
          <c:invertIfNegative val="0"/>
          <c:cat>
            <c:strRef>
              <c:f>'NS beam trawl over 300kW'!$I$161:$K$161</c:f>
              <c:strCache>
                <c:ptCount val="3"/>
                <c:pt idx="0">
                  <c:v>Most
profitable
quartile</c:v>
                </c:pt>
                <c:pt idx="1">
                  <c:v>Middle 
two quartiles</c:v>
                </c:pt>
                <c:pt idx="2">
                  <c:v>Least
profitable
quartile</c:v>
                </c:pt>
              </c:strCache>
            </c:strRef>
          </c:cat>
          <c:val>
            <c:numRef>
              <c:f>'NS beam trawl over 300kW'!$I$167:$K$167</c:f>
              <c:numCache>
                <c:formatCode>0%</c:formatCode>
                <c:ptCount val="3"/>
                <c:pt idx="0">
                  <c:v>0</c:v>
                </c:pt>
                <c:pt idx="1">
                  <c:v>0</c:v>
                </c:pt>
                <c:pt idx="2">
                  <c:v>0</c:v>
                </c:pt>
              </c:numCache>
            </c:numRef>
          </c:val>
          <c:extLst>
            <c:ext xmlns:c16="http://schemas.microsoft.com/office/drawing/2014/chart" uri="{C3380CC4-5D6E-409C-BE32-E72D297353CC}">
              <c16:uniqueId val="{00000005-F0AA-47BF-A1A9-4A712F97DAFD}"/>
            </c:ext>
          </c:extLst>
        </c:ser>
        <c:ser>
          <c:idx val="6"/>
          <c:order val="6"/>
          <c:tx>
            <c:strRef>
              <c:f>'NS beam trawl over 300kW'!$H$168</c:f>
              <c:strCache>
                <c:ptCount val="1"/>
                <c:pt idx="0">
                  <c:v>Others</c:v>
                </c:pt>
              </c:strCache>
            </c:strRef>
          </c:tx>
          <c:spPr>
            <a:solidFill>
              <a:srgbClr val="55585A"/>
            </a:solidFill>
            <a:ln>
              <a:solidFill>
                <a:srgbClr val="FFFFFF"/>
              </a:solidFill>
            </a:ln>
          </c:spPr>
          <c:invertIfNegative val="0"/>
          <c:cat>
            <c:strRef>
              <c:f>'NS beam trawl over 300kW'!$I$161:$K$161</c:f>
              <c:strCache>
                <c:ptCount val="3"/>
                <c:pt idx="0">
                  <c:v>Most
profitable
quartile</c:v>
                </c:pt>
                <c:pt idx="1">
                  <c:v>Middle 
two quartiles</c:v>
                </c:pt>
                <c:pt idx="2">
                  <c:v>Least
profitable
quartile</c:v>
                </c:pt>
              </c:strCache>
            </c:strRef>
          </c:cat>
          <c:val>
            <c:numRef>
              <c:f>'NS beam trawl over 300kW'!$I$168:$K$168</c:f>
              <c:numCache>
                <c:formatCode>0%</c:formatCode>
                <c:ptCount val="3"/>
                <c:pt idx="0">
                  <c:v>0</c:v>
                </c:pt>
                <c:pt idx="1">
                  <c:v>0</c:v>
                </c:pt>
                <c:pt idx="2">
                  <c:v>0</c:v>
                </c:pt>
              </c:numCache>
            </c:numRef>
          </c:val>
          <c:extLst>
            <c:ext xmlns:c16="http://schemas.microsoft.com/office/drawing/2014/chart" uri="{C3380CC4-5D6E-409C-BE32-E72D297353CC}">
              <c16:uniqueId val="{00000006-F0AA-47BF-A1A9-4A712F97DAFD}"/>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 beam trawl over 300kW'!$K$139</c:f>
              <c:strCache>
                <c:ptCount val="1"/>
                <c:pt idx="0">
                  <c:v>Total income</c:v>
                </c:pt>
              </c:strCache>
            </c:strRef>
          </c:tx>
          <c:spPr>
            <a:solidFill>
              <a:srgbClr val="087CBB"/>
            </a:solidFill>
            <a:ln>
              <a:solidFill>
                <a:schemeClr val="accent1"/>
              </a:solidFill>
            </a:ln>
          </c:spPr>
          <c:invertIfNegative val="0"/>
          <c:cat>
            <c:strRef>
              <c:f>'NS beam trawl over 300kW'!$L$138:$N$138</c:f>
              <c:strCache>
                <c:ptCount val="3"/>
                <c:pt idx="0">
                  <c:v>Most
profitable
quartile</c:v>
                </c:pt>
                <c:pt idx="1">
                  <c:v>Middle
two quartiles</c:v>
                </c:pt>
                <c:pt idx="2">
                  <c:v>Least
profitable
quartile</c:v>
                </c:pt>
              </c:strCache>
            </c:strRef>
          </c:cat>
          <c:val>
            <c:numRef>
              <c:f>'NS beam trawl over 300kW'!$L$139:$N$139</c:f>
              <c:numCache>
                <c:formatCode>#,##0</c:formatCode>
                <c:ptCount val="3"/>
                <c:pt idx="0">
                  <c:v>0</c:v>
                </c:pt>
                <c:pt idx="1">
                  <c:v>0</c:v>
                </c:pt>
                <c:pt idx="2">
                  <c:v>0</c:v>
                </c:pt>
              </c:numCache>
            </c:numRef>
          </c:val>
          <c:extLst>
            <c:ext xmlns:c16="http://schemas.microsoft.com/office/drawing/2014/chart" uri="{C3380CC4-5D6E-409C-BE32-E72D297353CC}">
              <c16:uniqueId val="{00000000-D534-48F7-875F-7451316FA86F}"/>
            </c:ext>
          </c:extLst>
        </c:ser>
        <c:ser>
          <c:idx val="1"/>
          <c:order val="1"/>
          <c:tx>
            <c:strRef>
              <c:f>'NS beam trawl over 300kW'!$K$140</c:f>
              <c:strCache>
                <c:ptCount val="1"/>
                <c:pt idx="0">
                  <c:v>Operating costs</c:v>
                </c:pt>
              </c:strCache>
            </c:strRef>
          </c:tx>
          <c:spPr>
            <a:solidFill>
              <a:srgbClr val="E87308"/>
            </a:solidFill>
          </c:spPr>
          <c:invertIfNegative val="0"/>
          <c:cat>
            <c:strRef>
              <c:f>'NS beam trawl over 300kW'!$L$138:$N$138</c:f>
              <c:strCache>
                <c:ptCount val="3"/>
                <c:pt idx="0">
                  <c:v>Most
profitable
quartile</c:v>
                </c:pt>
                <c:pt idx="1">
                  <c:v>Middle
two quartiles</c:v>
                </c:pt>
                <c:pt idx="2">
                  <c:v>Least
profitable
quartile</c:v>
                </c:pt>
              </c:strCache>
            </c:strRef>
          </c:cat>
          <c:val>
            <c:numRef>
              <c:f>'NS beam trawl over 300kW'!$L$140:$N$140</c:f>
              <c:numCache>
                <c:formatCode>#,##0</c:formatCode>
                <c:ptCount val="3"/>
                <c:pt idx="0">
                  <c:v>0</c:v>
                </c:pt>
                <c:pt idx="1">
                  <c:v>0</c:v>
                </c:pt>
                <c:pt idx="2">
                  <c:v>0</c:v>
                </c:pt>
              </c:numCache>
            </c:numRef>
          </c:val>
          <c:extLst>
            <c:ext xmlns:c16="http://schemas.microsoft.com/office/drawing/2014/chart" uri="{C3380CC4-5D6E-409C-BE32-E72D297353CC}">
              <c16:uniqueId val="{00000001-D534-48F7-875F-7451316FA86F}"/>
            </c:ext>
          </c:extLst>
        </c:ser>
        <c:ser>
          <c:idx val="2"/>
          <c:order val="2"/>
          <c:tx>
            <c:strRef>
              <c:f>'NS beam trawl over 300kW'!$K$141</c:f>
              <c:strCache>
                <c:ptCount val="1"/>
                <c:pt idx="0">
                  <c:v>Operating profit</c:v>
                </c:pt>
              </c:strCache>
            </c:strRef>
          </c:tx>
          <c:spPr>
            <a:solidFill>
              <a:srgbClr val="51AA81"/>
            </a:solidFill>
          </c:spPr>
          <c:invertIfNegative val="0"/>
          <c:cat>
            <c:strRef>
              <c:f>'NS beam trawl over 300kW'!$L$138:$N$138</c:f>
              <c:strCache>
                <c:ptCount val="3"/>
                <c:pt idx="0">
                  <c:v>Most
profitable
quartile</c:v>
                </c:pt>
                <c:pt idx="1">
                  <c:v>Middle
two quartiles</c:v>
                </c:pt>
                <c:pt idx="2">
                  <c:v>Least
profitable
quartile</c:v>
                </c:pt>
              </c:strCache>
            </c:strRef>
          </c:cat>
          <c:val>
            <c:numRef>
              <c:f>'NS beam trawl over 300kW'!$L$141:$N$141</c:f>
              <c:numCache>
                <c:formatCode>#,##0</c:formatCode>
                <c:ptCount val="3"/>
                <c:pt idx="0">
                  <c:v>0</c:v>
                </c:pt>
                <c:pt idx="1">
                  <c:v>0</c:v>
                </c:pt>
                <c:pt idx="2">
                  <c:v>0</c:v>
                </c:pt>
              </c:numCache>
            </c:numRef>
          </c:val>
          <c:extLst>
            <c:ext xmlns:c16="http://schemas.microsoft.com/office/drawing/2014/chart" uri="{C3380CC4-5D6E-409C-BE32-E72D297353CC}">
              <c16:uniqueId val="{00000002-D534-48F7-875F-7451316FA86F}"/>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 beam trawl over 300kW'!$K$142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300kW'!$A$48</c:f>
          <c:strCache>
            <c:ptCount val="1"/>
            <c:pt idx="0">
              <c:v>Landings per kW day at sea (kg)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3BF3-43DE-AD96-87899C6DAAF9}"/>
              </c:ext>
            </c:extLst>
          </c:dPt>
          <c:dPt>
            <c:idx val="10"/>
            <c:bubble3D val="0"/>
            <c:spPr>
              <a:ln w="57150">
                <a:solidFill>
                  <a:srgbClr val="2273B9"/>
                </a:solidFill>
                <a:prstDash val="sysDot"/>
              </a:ln>
            </c:spPr>
            <c:extLst>
              <c:ext xmlns:c16="http://schemas.microsoft.com/office/drawing/2014/chart" uri="{C3380CC4-5D6E-409C-BE32-E72D297353CC}">
                <c16:uniqueId val="{00000003-3BF3-43DE-AD96-87899C6DAAF9}"/>
              </c:ext>
            </c:extLst>
          </c:dPt>
          <c:cat>
            <c:numRef>
              <c:f>'NS beam trawl under 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 beam trawl under 300kW'!$D$21:$N$21</c:f>
              <c:numCache>
                <c:formatCode>#,##0.00</c:formatCode>
                <c:ptCount val="11"/>
                <c:pt idx="0">
                  <c:v>3.0219101910153179</c:v>
                </c:pt>
                <c:pt idx="1">
                  <c:v>3.1895745675305078</c:v>
                </c:pt>
                <c:pt idx="2">
                  <c:v>3.9223019947286133</c:v>
                </c:pt>
                <c:pt idx="3">
                  <c:v>2.7202065528924475</c:v>
                </c:pt>
                <c:pt idx="4">
                  <c:v>3.242810071527813</c:v>
                </c:pt>
                <c:pt idx="5">
                  <c:v>3.3062912062321512</c:v>
                </c:pt>
                <c:pt idx="6">
                  <c:v>2.1382350529235601</c:v>
                </c:pt>
                <c:pt idx="7">
                  <c:v>1.1386183900383613</c:v>
                </c:pt>
                <c:pt idx="8">
                  <c:v>2.3021595816806091</c:v>
                </c:pt>
                <c:pt idx="9">
                  <c:v>1.9644930464613135</c:v>
                </c:pt>
                <c:pt idx="10">
                  <c:v>2.834867979398076</c:v>
                </c:pt>
              </c:numCache>
            </c:numRef>
          </c:val>
          <c:smooth val="0"/>
          <c:extLst>
            <c:ext xmlns:c16="http://schemas.microsoft.com/office/drawing/2014/chart" uri="{C3380CC4-5D6E-409C-BE32-E72D297353CC}">
              <c16:uniqueId val="{00000004-3BF3-43DE-AD96-87899C6DAAF9}"/>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300kW'!$A$49</c:f>
          <c:strCache>
            <c:ptCount val="1"/>
            <c:pt idx="0">
              <c:v>Fishing income per kW day at sea (£)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2A43-43AC-95E1-8FFFF3CC8A3E}"/>
              </c:ext>
            </c:extLst>
          </c:dPt>
          <c:dPt>
            <c:idx val="10"/>
            <c:bubble3D val="0"/>
            <c:spPr>
              <a:ln w="57150">
                <a:solidFill>
                  <a:srgbClr val="648C2E"/>
                </a:solidFill>
                <a:prstDash val="sysDot"/>
              </a:ln>
            </c:spPr>
            <c:extLst>
              <c:ext xmlns:c16="http://schemas.microsoft.com/office/drawing/2014/chart" uri="{C3380CC4-5D6E-409C-BE32-E72D297353CC}">
                <c16:uniqueId val="{00000003-2A43-43AC-95E1-8FFFF3CC8A3E}"/>
              </c:ext>
            </c:extLst>
          </c:dPt>
          <c:cat>
            <c:numRef>
              <c:f>'NS beam trawl under 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 beam trawl under 300kW'!$D$22:$N$22</c:f>
              <c:numCache>
                <c:formatCode>#,##0.00</c:formatCode>
                <c:ptCount val="11"/>
                <c:pt idx="0">
                  <c:v>6.5277625807019799</c:v>
                </c:pt>
                <c:pt idx="1">
                  <c:v>5.7221154685268703</c:v>
                </c:pt>
                <c:pt idx="2">
                  <c:v>7.89488180836483</c:v>
                </c:pt>
                <c:pt idx="3">
                  <c:v>6.0568493158412098</c:v>
                </c:pt>
                <c:pt idx="4">
                  <c:v>3.41893392037161</c:v>
                </c:pt>
                <c:pt idx="5">
                  <c:v>4.4092975263444796</c:v>
                </c:pt>
                <c:pt idx="6">
                  <c:v>6.9460790129782399</c:v>
                </c:pt>
                <c:pt idx="7">
                  <c:v>5.1220848408625699</c:v>
                </c:pt>
                <c:pt idx="8">
                  <c:v>5.7026838496336199</c:v>
                </c:pt>
                <c:pt idx="9">
                  <c:v>3.7640112852213901</c:v>
                </c:pt>
                <c:pt idx="10">
                  <c:v>6.004260930958365</c:v>
                </c:pt>
              </c:numCache>
            </c:numRef>
          </c:val>
          <c:smooth val="0"/>
          <c:extLst>
            <c:ext xmlns:c16="http://schemas.microsoft.com/office/drawing/2014/chart" uri="{C3380CC4-5D6E-409C-BE32-E72D297353CC}">
              <c16:uniqueId val="{00000004-2A43-43AC-95E1-8FFFF3CC8A3E}"/>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300kW'!$B$62</c:f>
          <c:strCache>
            <c:ptCount val="1"/>
            <c:pt idx="0">
              <c:v>Total cost per kW day at sea (£)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B794-4721-95BA-8365BE9FA6CA}"/>
              </c:ext>
            </c:extLst>
          </c:dPt>
          <c:dPt>
            <c:idx val="10"/>
            <c:bubble3D val="0"/>
            <c:spPr>
              <a:ln w="57150">
                <a:solidFill>
                  <a:srgbClr val="087CBB"/>
                </a:solidFill>
                <a:prstDash val="sysDot"/>
              </a:ln>
            </c:spPr>
            <c:extLst>
              <c:ext xmlns:c16="http://schemas.microsoft.com/office/drawing/2014/chart" uri="{C3380CC4-5D6E-409C-BE32-E72D297353CC}">
                <c16:uniqueId val="{00000003-B794-4721-95BA-8365BE9FA6CA}"/>
              </c:ext>
            </c:extLst>
          </c:dPt>
          <c:cat>
            <c:numRef>
              <c:f>'NS beam trawl under 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 beam trawl under 300kW'!$D$23:$N$23</c:f>
              <c:numCache>
                <c:formatCode>#,##0.00</c:formatCode>
                <c:ptCount val="11"/>
                <c:pt idx="0">
                  <c:v>7.1242171977081501</c:v>
                </c:pt>
                <c:pt idx="1">
                  <c:v>7.75836871140024</c:v>
                </c:pt>
                <c:pt idx="2">
                  <c:v>8.0731995583617095</c:v>
                </c:pt>
                <c:pt idx="3">
                  <c:v>6.9277473158549201</c:v>
                </c:pt>
                <c:pt idx="4">
                  <c:v>5.7755431603808702</c:v>
                </c:pt>
                <c:pt idx="5">
                  <c:v>4.7031037651247098</c:v>
                </c:pt>
                <c:pt idx="6">
                  <c:v>7.6518766318959903</c:v>
                </c:pt>
                <c:pt idx="7">
                  <c:v>5.4858259792859201</c:v>
                </c:pt>
                <c:pt idx="8">
                  <c:v>5.6607202122459803</c:v>
                </c:pt>
                <c:pt idx="9">
                  <c:v>6.4253402338508696</c:v>
                </c:pt>
                <c:pt idx="10">
                  <c:v>7.8192142802816846</c:v>
                </c:pt>
              </c:numCache>
            </c:numRef>
          </c:val>
          <c:smooth val="0"/>
          <c:extLst>
            <c:ext xmlns:c16="http://schemas.microsoft.com/office/drawing/2014/chart" uri="{C3380CC4-5D6E-409C-BE32-E72D297353CC}">
              <c16:uniqueId val="{00000004-B794-4721-95BA-8365BE9FA6CA}"/>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300kW'!$K$48</c:f>
          <c:strCache>
            <c:ptCount val="1"/>
            <c:pt idx="0">
              <c:v>Operating profit per kW day at sea (£)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1BC6-4D62-8B41-8CCE5D4C5E55}"/>
              </c:ext>
            </c:extLst>
          </c:dPt>
          <c:dPt>
            <c:idx val="10"/>
            <c:bubble3D val="0"/>
            <c:spPr>
              <a:ln w="57150">
                <a:solidFill>
                  <a:schemeClr val="accent3"/>
                </a:solidFill>
                <a:prstDash val="sysDot"/>
              </a:ln>
            </c:spPr>
            <c:extLst>
              <c:ext xmlns:c16="http://schemas.microsoft.com/office/drawing/2014/chart" uri="{C3380CC4-5D6E-409C-BE32-E72D297353CC}">
                <c16:uniqueId val="{00000003-1BC6-4D62-8B41-8CCE5D4C5E55}"/>
              </c:ext>
            </c:extLst>
          </c:dPt>
          <c:cat>
            <c:numRef>
              <c:f>'NS beam trawl under 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 beam trawl under 300kW'!$D$24:$N$24</c:f>
              <c:numCache>
                <c:formatCode>#,##0.00</c:formatCode>
                <c:ptCount val="11"/>
                <c:pt idx="0">
                  <c:v>-0.27155556900970701</c:v>
                </c:pt>
                <c:pt idx="1">
                  <c:v>-1.68989387081469</c:v>
                </c:pt>
                <c:pt idx="2">
                  <c:v>0.17222840574365</c:v>
                </c:pt>
                <c:pt idx="3">
                  <c:v>-0.45407015750669799</c:v>
                </c:pt>
                <c:pt idx="4">
                  <c:v>-2.19254763486874</c:v>
                </c:pt>
                <c:pt idx="5">
                  <c:v>6.9584443295442003E-3</c:v>
                </c:pt>
                <c:pt idx="6">
                  <c:v>7.68534871867943E-2</c:v>
                </c:pt>
                <c:pt idx="7">
                  <c:v>6.3022522876597806E-2</c:v>
                </c:pt>
                <c:pt idx="8">
                  <c:v>0.51710187284148501</c:v>
                </c:pt>
                <c:pt idx="9">
                  <c:v>-2.66132894862948</c:v>
                </c:pt>
                <c:pt idx="10">
                  <c:v>-1.2705144463529556</c:v>
                </c:pt>
              </c:numCache>
            </c:numRef>
          </c:val>
          <c:smooth val="0"/>
          <c:extLst>
            <c:ext xmlns:c16="http://schemas.microsoft.com/office/drawing/2014/chart" uri="{C3380CC4-5D6E-409C-BE32-E72D297353CC}">
              <c16:uniqueId val="{00000004-1BC6-4D62-8B41-8CCE5D4C5E55}"/>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300kW'!$A$50</c:f>
          <c:strCache>
            <c:ptCount val="1"/>
            <c:pt idx="0">
              <c:v>Average price per tonne landed (£)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5A22-47F4-8D32-C95F3AB3C59F}"/>
              </c:ext>
            </c:extLst>
          </c:dPt>
          <c:dPt>
            <c:idx val="10"/>
            <c:bubble3D val="0"/>
            <c:spPr>
              <a:ln w="57150">
                <a:solidFill>
                  <a:schemeClr val="accent4"/>
                </a:solidFill>
                <a:prstDash val="sysDot"/>
              </a:ln>
            </c:spPr>
            <c:extLst>
              <c:ext xmlns:c16="http://schemas.microsoft.com/office/drawing/2014/chart" uri="{C3380CC4-5D6E-409C-BE32-E72D297353CC}">
                <c16:uniqueId val="{00000003-5A22-47F4-8D32-C95F3AB3C59F}"/>
              </c:ext>
            </c:extLst>
          </c:dPt>
          <c:cat>
            <c:numRef>
              <c:f>'NS beam trawl under 300kW'!$D$2:$M$2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'NS beam trawl under 300kW'!$D$20:$N$20</c:f>
              <c:numCache>
                <c:formatCode>#,##0</c:formatCode>
                <c:ptCount val="11"/>
                <c:pt idx="0">
                  <c:v>2160</c:v>
                </c:pt>
                <c:pt idx="1">
                  <c:v>1794</c:v>
                </c:pt>
                <c:pt idx="2">
                  <c:v>2013</c:v>
                </c:pt>
                <c:pt idx="3">
                  <c:v>2227</c:v>
                </c:pt>
                <c:pt idx="4">
                  <c:v>1054</c:v>
                </c:pt>
                <c:pt idx="5">
                  <c:v>1334</c:v>
                </c:pt>
                <c:pt idx="6">
                  <c:v>3249</c:v>
                </c:pt>
                <c:pt idx="7">
                  <c:v>4499</c:v>
                </c:pt>
                <c:pt idx="8">
                  <c:v>2477</c:v>
                </c:pt>
                <c:pt idx="9">
                  <c:v>1916</c:v>
                </c:pt>
                <c:pt idx="10">
                  <c:v>2118</c:v>
                </c:pt>
              </c:numCache>
            </c:numRef>
          </c:val>
          <c:smooth val="0"/>
          <c:extLst>
            <c:ext xmlns:c16="http://schemas.microsoft.com/office/drawing/2014/chart" uri="{C3380CC4-5D6E-409C-BE32-E72D297353CC}">
              <c16:uniqueId val="{00000004-5A22-47F4-8D32-C95F3AB3C59F}"/>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300kW'!$K$62</c:f>
          <c:strCache>
            <c:ptCount val="1"/>
            <c:pt idx="0">
              <c:v>Average annual operating profit per vessel (£'000)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A12B-41C6-850A-8435BAD4B2D5}"/>
              </c:ext>
            </c:extLst>
          </c:dPt>
          <c:dPt>
            <c:idx val="10"/>
            <c:bubble3D val="0"/>
            <c:spPr>
              <a:ln w="57150">
                <a:solidFill>
                  <a:schemeClr val="accent5"/>
                </a:solidFill>
                <a:prstDash val="sysDot"/>
              </a:ln>
            </c:spPr>
            <c:extLst>
              <c:ext xmlns:c16="http://schemas.microsoft.com/office/drawing/2014/chart" uri="{C3380CC4-5D6E-409C-BE32-E72D297353CC}">
                <c16:uniqueId val="{00000003-A12B-41C6-850A-8435BAD4B2D5}"/>
              </c:ext>
            </c:extLst>
          </c:dPt>
          <c:cat>
            <c:numRef>
              <c:f>'NS beam trawl under 300kW'!$D$2:$M$2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'NS beam trawl under 300kW'!$D$37:$N$37</c:f>
              <c:numCache>
                <c:formatCode>#,##0.0</c:formatCode>
                <c:ptCount val="11"/>
                <c:pt idx="0">
                  <c:v>-5.8</c:v>
                </c:pt>
                <c:pt idx="1">
                  <c:v>-24.7</c:v>
                </c:pt>
                <c:pt idx="2">
                  <c:v>2.9</c:v>
                </c:pt>
                <c:pt idx="3">
                  <c:v>-10.199999999999999</c:v>
                </c:pt>
                <c:pt idx="4">
                  <c:v>-47.8</c:v>
                </c:pt>
                <c:pt idx="5">
                  <c:v>0.2</c:v>
                </c:pt>
                <c:pt idx="6">
                  <c:v>1.3</c:v>
                </c:pt>
                <c:pt idx="7">
                  <c:v>1.3</c:v>
                </c:pt>
                <c:pt idx="8">
                  <c:v>10</c:v>
                </c:pt>
                <c:pt idx="9">
                  <c:v>-34.700000000000003</c:v>
                </c:pt>
                <c:pt idx="10">
                  <c:v>-19.600000000000001</c:v>
                </c:pt>
              </c:numCache>
            </c:numRef>
          </c:val>
          <c:smooth val="0"/>
          <c:extLst>
            <c:ext xmlns:c16="http://schemas.microsoft.com/office/drawing/2014/chart" uri="{C3380CC4-5D6E-409C-BE32-E72D297353CC}">
              <c16:uniqueId val="{00000004-A12B-41C6-850A-8435BAD4B2D5}"/>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under 300kW'!$A$76</c:f>
          <c:strCache>
            <c:ptCount val="1"/>
            <c:pt idx="0">
              <c:v>Top 5 landed species by volume in 2019
North Sea beam trawl under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B6DE-4677-82AA-BCE58477F33E}"/>
              </c:ext>
            </c:extLst>
          </c:dPt>
          <c:dPt>
            <c:idx val="1"/>
            <c:bubble3D val="0"/>
            <c:spPr>
              <a:solidFill>
                <a:srgbClr val="E87308"/>
              </a:solidFill>
              <a:ln>
                <a:solidFill>
                  <a:srgbClr val="FFFFFF"/>
                </a:solidFill>
              </a:ln>
            </c:spPr>
            <c:extLst>
              <c:ext xmlns:c16="http://schemas.microsoft.com/office/drawing/2014/chart" uri="{C3380CC4-5D6E-409C-BE32-E72D297353CC}">
                <c16:uniqueId val="{00000003-B6DE-4677-82AA-BCE58477F33E}"/>
              </c:ext>
            </c:extLst>
          </c:dPt>
          <c:dPt>
            <c:idx val="2"/>
            <c:bubble3D val="0"/>
            <c:spPr>
              <a:solidFill>
                <a:srgbClr val="648C2E"/>
              </a:solidFill>
              <a:ln>
                <a:solidFill>
                  <a:srgbClr val="FFFFFF"/>
                </a:solidFill>
              </a:ln>
            </c:spPr>
            <c:extLst>
              <c:ext xmlns:c16="http://schemas.microsoft.com/office/drawing/2014/chart" uri="{C3380CC4-5D6E-409C-BE32-E72D297353CC}">
                <c16:uniqueId val="{00000005-B6DE-4677-82AA-BCE58477F33E}"/>
              </c:ext>
            </c:extLst>
          </c:dPt>
          <c:dPt>
            <c:idx val="3"/>
            <c:bubble3D val="0"/>
            <c:spPr>
              <a:solidFill>
                <a:srgbClr val="C1D119"/>
              </a:solidFill>
              <a:ln>
                <a:solidFill>
                  <a:srgbClr val="FFFFFF"/>
                </a:solidFill>
              </a:ln>
            </c:spPr>
            <c:extLst>
              <c:ext xmlns:c16="http://schemas.microsoft.com/office/drawing/2014/chart" uri="{C3380CC4-5D6E-409C-BE32-E72D297353CC}">
                <c16:uniqueId val="{00000007-B6DE-4677-82AA-BCE58477F33E}"/>
              </c:ext>
            </c:extLst>
          </c:dPt>
          <c:dPt>
            <c:idx val="4"/>
            <c:bubble3D val="0"/>
            <c:spPr>
              <a:solidFill>
                <a:srgbClr val="E84A38"/>
              </a:solidFill>
              <a:ln>
                <a:solidFill>
                  <a:srgbClr val="FFFFFF"/>
                </a:solidFill>
              </a:ln>
            </c:spPr>
            <c:extLst>
              <c:ext xmlns:c16="http://schemas.microsoft.com/office/drawing/2014/chart" uri="{C3380CC4-5D6E-409C-BE32-E72D297353CC}">
                <c16:uniqueId val="{00000009-B6DE-4677-82AA-BCE58477F33E}"/>
              </c:ext>
            </c:extLst>
          </c:dPt>
          <c:dPt>
            <c:idx val="5"/>
            <c:bubble3D val="0"/>
            <c:spPr>
              <a:solidFill>
                <a:srgbClr val="55585A"/>
              </a:solidFill>
              <a:ln>
                <a:solidFill>
                  <a:srgbClr val="FFFFFF"/>
                </a:solidFill>
              </a:ln>
            </c:spPr>
            <c:extLst>
              <c:ext xmlns:c16="http://schemas.microsoft.com/office/drawing/2014/chart" uri="{C3380CC4-5D6E-409C-BE32-E72D297353CC}">
                <c16:uniqueId val="{0000000B-B6DE-4677-82AA-BCE58477F33E}"/>
              </c:ext>
            </c:extLst>
          </c:dPt>
          <c:cat>
            <c:strRef>
              <c:f>'NS beam trawl under 300kW'!$B$77:$B$82</c:f>
              <c:strCache>
                <c:ptCount val="6"/>
                <c:pt idx="0">
                  <c:v>Brown Shrimps - 79.4%</c:v>
                </c:pt>
                <c:pt idx="1">
                  <c:v>Whelks - 17.3%</c:v>
                </c:pt>
                <c:pt idx="2">
                  <c:v>Brown Crab - 2.9%</c:v>
                </c:pt>
                <c:pt idx="3">
                  <c:v>Lobsters - 0.3%</c:v>
                </c:pt>
                <c:pt idx="4">
                  <c:v>Sole - 0.0%</c:v>
                </c:pt>
                <c:pt idx="5">
                  <c:v>Others - 0.0%</c:v>
                </c:pt>
              </c:strCache>
            </c:strRef>
          </c:cat>
          <c:val>
            <c:numRef>
              <c:f>'NS beam trawl under 300kW'!$C$77:$C$82</c:f>
              <c:numCache>
                <c:formatCode>0.0%</c:formatCode>
                <c:ptCount val="6"/>
                <c:pt idx="0">
                  <c:v>0.79387137073510006</c:v>
                </c:pt>
                <c:pt idx="1">
                  <c:v>0.17324827700227619</c:v>
                </c:pt>
                <c:pt idx="2">
                  <c:v>2.9433524138497733E-2</c:v>
                </c:pt>
                <c:pt idx="3">
                  <c:v>2.6740517255468932E-3</c:v>
                </c:pt>
                <c:pt idx="4">
                  <c:v>4.6165863139791485E-4</c:v>
                </c:pt>
                <c:pt idx="5">
                  <c:v>3.1111776718117934E-4</c:v>
                </c:pt>
              </c:numCache>
            </c:numRef>
          </c:val>
          <c:extLst>
            <c:ext xmlns:c16="http://schemas.microsoft.com/office/drawing/2014/chart" uri="{C3380CC4-5D6E-409C-BE32-E72D297353CC}">
              <c16:uniqueId val="{0000000C-B6DE-4677-82AA-BCE58477F33E}"/>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o250kW'!$A$49</c:f>
          <c:strCache>
            <c:ptCount val="1"/>
            <c:pt idx="0">
              <c:v>Fishing income per kW day at sea (£)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138C-4DC3-B98C-12CB87C68B81}"/>
              </c:ext>
            </c:extLst>
          </c:dPt>
          <c:dPt>
            <c:idx val="10"/>
            <c:bubble3D val="0"/>
            <c:spPr>
              <a:ln w="57150">
                <a:solidFill>
                  <a:srgbClr val="648C2E"/>
                </a:solidFill>
                <a:prstDash val="sysDot"/>
              </a:ln>
            </c:spPr>
            <c:extLst>
              <c:ext xmlns:c16="http://schemas.microsoft.com/office/drawing/2014/chart" uri="{C3380CC4-5D6E-409C-BE32-E72D297353CC}">
                <c16:uniqueId val="{00000003-138C-4DC3-B98C-12CB87C68B81}"/>
              </c:ext>
            </c:extLst>
          </c:dPt>
          <c:cat>
            <c:numRef>
              <c:f>'Area VIIa nephrops o250kW'!$D$2:$N$2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'Area VIIa nephrops o250kW'!$D$22:$N$22</c:f>
              <c:numCache>
                <c:formatCode>#,##0.00</c:formatCode>
                <c:ptCount val="11"/>
                <c:pt idx="0">
                  <c:v>4.4997615869135297</c:v>
                </c:pt>
                <c:pt idx="1">
                  <c:v>6.3421512781713103</c:v>
                </c:pt>
                <c:pt idx="2">
                  <c:v>6.4876728428191202</c:v>
                </c:pt>
                <c:pt idx="3">
                  <c:v>4.9886574169392102</c:v>
                </c:pt>
                <c:pt idx="4">
                  <c:v>5.2250420195329799</c:v>
                </c:pt>
                <c:pt idx="5">
                  <c:v>5.3887886786153896</c:v>
                </c:pt>
                <c:pt idx="6">
                  <c:v>5.7774536309701796</c:v>
                </c:pt>
                <c:pt idx="7">
                  <c:v>6.0893941570453904</c:v>
                </c:pt>
                <c:pt idx="8">
                  <c:v>5.3673928207623796</c:v>
                </c:pt>
                <c:pt idx="9">
                  <c:v>6.4829651419126799</c:v>
                </c:pt>
                <c:pt idx="10">
                  <c:v>5.1105326920836998</c:v>
                </c:pt>
              </c:numCache>
            </c:numRef>
          </c:val>
          <c:smooth val="0"/>
          <c:extLst>
            <c:ext xmlns:c16="http://schemas.microsoft.com/office/drawing/2014/chart" uri="{C3380CC4-5D6E-409C-BE32-E72D297353CC}">
              <c16:uniqueId val="{00000004-138C-4DC3-B98C-12CB87C68B81}"/>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under 300kW'!$F$76</c:f>
          <c:strCache>
            <c:ptCount val="1"/>
            <c:pt idx="0">
              <c:v>Top 5 landed species by value in 2019
North Sea beam trawl under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DC10-499B-8D7F-FCC55E693FFD}"/>
              </c:ext>
            </c:extLst>
          </c:dPt>
          <c:dPt>
            <c:idx val="1"/>
            <c:bubble3D val="0"/>
            <c:spPr>
              <a:solidFill>
                <a:srgbClr val="E87308"/>
              </a:solidFill>
              <a:ln>
                <a:solidFill>
                  <a:srgbClr val="FFFFFF"/>
                </a:solidFill>
              </a:ln>
            </c:spPr>
            <c:extLst>
              <c:ext xmlns:c16="http://schemas.microsoft.com/office/drawing/2014/chart" uri="{C3380CC4-5D6E-409C-BE32-E72D297353CC}">
                <c16:uniqueId val="{00000003-DC10-499B-8D7F-FCC55E693FFD}"/>
              </c:ext>
            </c:extLst>
          </c:dPt>
          <c:dPt>
            <c:idx val="2"/>
            <c:bubble3D val="0"/>
            <c:spPr>
              <a:solidFill>
                <a:srgbClr val="648C2E"/>
              </a:solidFill>
              <a:ln>
                <a:solidFill>
                  <a:srgbClr val="FFFFFF"/>
                </a:solidFill>
              </a:ln>
            </c:spPr>
            <c:extLst>
              <c:ext xmlns:c16="http://schemas.microsoft.com/office/drawing/2014/chart" uri="{C3380CC4-5D6E-409C-BE32-E72D297353CC}">
                <c16:uniqueId val="{00000005-DC10-499B-8D7F-FCC55E693FFD}"/>
              </c:ext>
            </c:extLst>
          </c:dPt>
          <c:dPt>
            <c:idx val="3"/>
            <c:bubble3D val="0"/>
            <c:spPr>
              <a:solidFill>
                <a:srgbClr val="C1D119"/>
              </a:solidFill>
              <a:ln>
                <a:solidFill>
                  <a:srgbClr val="FFFFFF"/>
                </a:solidFill>
              </a:ln>
            </c:spPr>
            <c:extLst>
              <c:ext xmlns:c16="http://schemas.microsoft.com/office/drawing/2014/chart" uri="{C3380CC4-5D6E-409C-BE32-E72D297353CC}">
                <c16:uniqueId val="{00000007-DC10-499B-8D7F-FCC55E693FFD}"/>
              </c:ext>
            </c:extLst>
          </c:dPt>
          <c:dPt>
            <c:idx val="4"/>
            <c:bubble3D val="0"/>
            <c:spPr>
              <a:solidFill>
                <a:srgbClr val="E84A38"/>
              </a:solidFill>
              <a:ln>
                <a:solidFill>
                  <a:srgbClr val="FFFFFF"/>
                </a:solidFill>
              </a:ln>
            </c:spPr>
            <c:extLst>
              <c:ext xmlns:c16="http://schemas.microsoft.com/office/drawing/2014/chart" uri="{C3380CC4-5D6E-409C-BE32-E72D297353CC}">
                <c16:uniqueId val="{00000009-DC10-499B-8D7F-FCC55E693FFD}"/>
              </c:ext>
            </c:extLst>
          </c:dPt>
          <c:dPt>
            <c:idx val="5"/>
            <c:bubble3D val="0"/>
            <c:spPr>
              <a:solidFill>
                <a:srgbClr val="55585A"/>
              </a:solidFill>
              <a:ln>
                <a:solidFill>
                  <a:srgbClr val="FFFFFF"/>
                </a:solidFill>
              </a:ln>
            </c:spPr>
            <c:extLst>
              <c:ext xmlns:c16="http://schemas.microsoft.com/office/drawing/2014/chart" uri="{C3380CC4-5D6E-409C-BE32-E72D297353CC}">
                <c16:uniqueId val="{0000000B-DC10-499B-8D7F-FCC55E693FFD}"/>
              </c:ext>
            </c:extLst>
          </c:dPt>
          <c:cat>
            <c:strRef>
              <c:f>'NS beam trawl under 300kW'!$G$77:$G$82</c:f>
              <c:strCache>
                <c:ptCount val="6"/>
                <c:pt idx="0">
                  <c:v>Brown Shrimps - 82.3%</c:v>
                </c:pt>
                <c:pt idx="1">
                  <c:v>Whelks - 12.2%</c:v>
                </c:pt>
                <c:pt idx="2">
                  <c:v>Brown Crab - 3.5%</c:v>
                </c:pt>
                <c:pt idx="3">
                  <c:v>Lobsters - 1.8%</c:v>
                </c:pt>
                <c:pt idx="4">
                  <c:v>Sole - 0.2%</c:v>
                </c:pt>
                <c:pt idx="5">
                  <c:v>Others - 0.0%</c:v>
                </c:pt>
              </c:strCache>
            </c:strRef>
          </c:cat>
          <c:val>
            <c:numRef>
              <c:f>'NS beam trawl under 300kW'!$H$77:$H$82</c:f>
              <c:numCache>
                <c:formatCode>0.0%</c:formatCode>
                <c:ptCount val="6"/>
                <c:pt idx="0">
                  <c:v>0.82312462679379761</c:v>
                </c:pt>
                <c:pt idx="1">
                  <c:v>0.12159650390060676</c:v>
                </c:pt>
                <c:pt idx="2">
                  <c:v>3.4972813132042764E-2</c:v>
                </c:pt>
                <c:pt idx="3">
                  <c:v>1.8101912380814794E-2</c:v>
                </c:pt>
                <c:pt idx="4">
                  <c:v>2.0434634739477991E-3</c:v>
                </c:pt>
                <c:pt idx="5">
                  <c:v>1.6068031879024058E-4</c:v>
                </c:pt>
              </c:numCache>
            </c:numRef>
          </c:val>
          <c:extLst>
            <c:ext xmlns:c16="http://schemas.microsoft.com/office/drawing/2014/chart" uri="{C3380CC4-5D6E-409C-BE32-E72D297353CC}">
              <c16:uniqueId val="{0000000C-DC10-499B-8D7F-FCC55E693FFD}"/>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under 300kW'!$K$77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 beam trawl under 300kW'!$C$92</c:f>
              <c:strCache>
                <c:ptCount val="1"/>
                <c:pt idx="0">
                  <c:v>Brown Shrimps</c:v>
                </c:pt>
              </c:strCache>
            </c:strRef>
          </c:tx>
          <c:spPr>
            <a:solidFill>
              <a:srgbClr val="2273B9"/>
            </a:solidFill>
            <a:ln>
              <a:solidFill>
                <a:srgbClr val="FFFFFF"/>
              </a:solidFill>
            </a:ln>
          </c:spPr>
          <c:invertIfNegative val="0"/>
          <c:cat>
            <c:numRef>
              <c:f>'NS beam trawl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under 300kW'!$D$92:$M$92</c:f>
              <c:numCache>
                <c:formatCode>0%</c:formatCode>
                <c:ptCount val="10"/>
                <c:pt idx="0">
                  <c:v>0.4954077297447867</c:v>
                </c:pt>
                <c:pt idx="1">
                  <c:v>0.72524384843508638</c:v>
                </c:pt>
                <c:pt idx="2">
                  <c:v>0.86021385990708921</c:v>
                </c:pt>
                <c:pt idx="3">
                  <c:v>0.82549123139680181</c:v>
                </c:pt>
                <c:pt idx="4">
                  <c:v>0.58752159006386417</c:v>
                </c:pt>
                <c:pt idx="5">
                  <c:v>0.91882753263998429</c:v>
                </c:pt>
                <c:pt idx="6">
                  <c:v>0.97772046937837076</c:v>
                </c:pt>
                <c:pt idx="7">
                  <c:v>0.99662054785034349</c:v>
                </c:pt>
                <c:pt idx="8">
                  <c:v>0.82312462679379761</c:v>
                </c:pt>
                <c:pt idx="9">
                  <c:v>0.97112713326998423</c:v>
                </c:pt>
              </c:numCache>
            </c:numRef>
          </c:val>
          <c:extLst>
            <c:ext xmlns:c16="http://schemas.microsoft.com/office/drawing/2014/chart" uri="{C3380CC4-5D6E-409C-BE32-E72D297353CC}">
              <c16:uniqueId val="{00000000-27E4-4878-A058-594D707E0EE1}"/>
            </c:ext>
          </c:extLst>
        </c:ser>
        <c:ser>
          <c:idx val="1"/>
          <c:order val="1"/>
          <c:tx>
            <c:strRef>
              <c:f>'NS beam trawl under 300kW'!$C$93</c:f>
              <c:strCache>
                <c:ptCount val="1"/>
                <c:pt idx="0">
                  <c:v>Whelks</c:v>
                </c:pt>
              </c:strCache>
            </c:strRef>
          </c:tx>
          <c:spPr>
            <a:solidFill>
              <a:srgbClr val="E87308"/>
            </a:solidFill>
            <a:ln>
              <a:solidFill>
                <a:srgbClr val="FFFFFF"/>
              </a:solidFill>
            </a:ln>
          </c:spPr>
          <c:invertIfNegative val="0"/>
          <c:cat>
            <c:numRef>
              <c:f>'NS beam trawl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under 300kW'!$D$93:$M$93</c:f>
              <c:numCache>
                <c:formatCode>0%</c:formatCode>
                <c:ptCount val="10"/>
                <c:pt idx="3">
                  <c:v>8.5025511785469451E-3</c:v>
                </c:pt>
                <c:pt idx="4">
                  <c:v>7.0390720866690085E-2</c:v>
                </c:pt>
                <c:pt idx="5">
                  <c:v>4.4916606249783622E-2</c:v>
                </c:pt>
                <c:pt idx="7">
                  <c:v>6.2257738603615522E-5</c:v>
                </c:pt>
                <c:pt idx="8">
                  <c:v>0.12159650390060676</c:v>
                </c:pt>
                <c:pt idx="9">
                  <c:v>2.2793413587411521E-2</c:v>
                </c:pt>
              </c:numCache>
            </c:numRef>
          </c:val>
          <c:extLst>
            <c:ext xmlns:c16="http://schemas.microsoft.com/office/drawing/2014/chart" uri="{C3380CC4-5D6E-409C-BE32-E72D297353CC}">
              <c16:uniqueId val="{00000001-27E4-4878-A058-594D707E0EE1}"/>
            </c:ext>
          </c:extLst>
        </c:ser>
        <c:ser>
          <c:idx val="2"/>
          <c:order val="2"/>
          <c:tx>
            <c:strRef>
              <c:f>'NS beam trawl under 300kW'!$C$94</c:f>
              <c:strCache>
                <c:ptCount val="1"/>
                <c:pt idx="0">
                  <c:v>Brown Crab</c:v>
                </c:pt>
              </c:strCache>
            </c:strRef>
          </c:tx>
          <c:spPr>
            <a:solidFill>
              <a:srgbClr val="648C2E"/>
            </a:solidFill>
            <a:ln>
              <a:solidFill>
                <a:srgbClr val="FFFFFF"/>
              </a:solidFill>
            </a:ln>
          </c:spPr>
          <c:invertIfNegative val="0"/>
          <c:cat>
            <c:numRef>
              <c:f>'NS beam trawl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under 300kW'!$D$94:$M$94</c:f>
              <c:numCache>
                <c:formatCode>0%</c:formatCode>
                <c:ptCount val="10"/>
                <c:pt idx="8">
                  <c:v>3.4972813132042764E-2</c:v>
                </c:pt>
              </c:numCache>
            </c:numRef>
          </c:val>
          <c:extLst>
            <c:ext xmlns:c16="http://schemas.microsoft.com/office/drawing/2014/chart" uri="{C3380CC4-5D6E-409C-BE32-E72D297353CC}">
              <c16:uniqueId val="{00000002-27E4-4878-A058-594D707E0EE1}"/>
            </c:ext>
          </c:extLst>
        </c:ser>
        <c:ser>
          <c:idx val="3"/>
          <c:order val="3"/>
          <c:tx>
            <c:strRef>
              <c:f>'NS beam trawl under 300kW'!$C$95</c:f>
              <c:strCache>
                <c:ptCount val="1"/>
                <c:pt idx="0">
                  <c:v>Lobsters</c:v>
                </c:pt>
              </c:strCache>
            </c:strRef>
          </c:tx>
          <c:spPr>
            <a:solidFill>
              <a:srgbClr val="C1D119"/>
            </a:solidFill>
            <a:ln>
              <a:solidFill>
                <a:srgbClr val="FFFFFF"/>
              </a:solidFill>
            </a:ln>
          </c:spPr>
          <c:invertIfNegative val="0"/>
          <c:cat>
            <c:numRef>
              <c:f>'NS beam trawl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under 300kW'!$D$95:$M$95</c:f>
              <c:numCache>
                <c:formatCode>0%</c:formatCode>
                <c:ptCount val="10"/>
                <c:pt idx="8">
                  <c:v>1.8101912380814794E-2</c:v>
                </c:pt>
              </c:numCache>
            </c:numRef>
          </c:val>
          <c:extLst>
            <c:ext xmlns:c16="http://schemas.microsoft.com/office/drawing/2014/chart" uri="{C3380CC4-5D6E-409C-BE32-E72D297353CC}">
              <c16:uniqueId val="{00000003-27E4-4878-A058-594D707E0EE1}"/>
            </c:ext>
          </c:extLst>
        </c:ser>
        <c:ser>
          <c:idx val="4"/>
          <c:order val="4"/>
          <c:tx>
            <c:strRef>
              <c:f>'NS beam trawl under 300kW'!$C$96</c:f>
              <c:strCache>
                <c:ptCount val="1"/>
                <c:pt idx="0">
                  <c:v>Sole</c:v>
                </c:pt>
              </c:strCache>
            </c:strRef>
          </c:tx>
          <c:spPr>
            <a:solidFill>
              <a:srgbClr val="E84A38"/>
            </a:solidFill>
            <a:ln>
              <a:solidFill>
                <a:srgbClr val="FFFFFF"/>
              </a:solidFill>
            </a:ln>
          </c:spPr>
          <c:invertIfNegative val="0"/>
          <c:cat>
            <c:numRef>
              <c:f>'NS beam trawl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under 300kW'!$D$96:$M$96</c:f>
              <c:numCache>
                <c:formatCode>0%</c:formatCode>
                <c:ptCount val="10"/>
                <c:pt idx="0">
                  <c:v>0.14523474126824917</c:v>
                </c:pt>
                <c:pt idx="2">
                  <c:v>2.3902283170617496E-2</c:v>
                </c:pt>
                <c:pt idx="7">
                  <c:v>1.7621714488039549E-4</c:v>
                </c:pt>
                <c:pt idx="8">
                  <c:v>2.0434634739477991E-3</c:v>
                </c:pt>
                <c:pt idx="9">
                  <c:v>2.2071344584549345E-3</c:v>
                </c:pt>
              </c:numCache>
            </c:numRef>
          </c:val>
          <c:extLst>
            <c:ext xmlns:c16="http://schemas.microsoft.com/office/drawing/2014/chart" uri="{C3380CC4-5D6E-409C-BE32-E72D297353CC}">
              <c16:uniqueId val="{00000004-27E4-4878-A058-594D707E0EE1}"/>
            </c:ext>
          </c:extLst>
        </c:ser>
        <c:ser>
          <c:idx val="5"/>
          <c:order val="5"/>
          <c:tx>
            <c:strRef>
              <c:f>'NS beam trawl under 300kW'!$C$97</c:f>
              <c:strCache>
                <c:ptCount val="1"/>
                <c:pt idx="0">
                  <c:v>Plaice</c:v>
                </c:pt>
              </c:strCache>
            </c:strRef>
          </c:tx>
          <c:spPr>
            <a:solidFill>
              <a:srgbClr val="0F9AA9"/>
            </a:solidFill>
            <a:ln>
              <a:solidFill>
                <a:srgbClr val="FFFFFF"/>
              </a:solidFill>
            </a:ln>
          </c:spPr>
          <c:invertIfNegative val="0"/>
          <c:cat>
            <c:numRef>
              <c:f>'NS beam trawl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under 300kW'!$D$97:$M$97</c:f>
              <c:numCache>
                <c:formatCode>0%</c:formatCode>
                <c:ptCount val="10"/>
                <c:pt idx="9">
                  <c:v>1.964049164902241E-3</c:v>
                </c:pt>
              </c:numCache>
            </c:numRef>
          </c:val>
          <c:extLst>
            <c:ext xmlns:c16="http://schemas.microsoft.com/office/drawing/2014/chart" uri="{C3380CC4-5D6E-409C-BE32-E72D297353CC}">
              <c16:uniqueId val="{00000005-27E4-4878-A058-594D707E0EE1}"/>
            </c:ext>
          </c:extLst>
        </c:ser>
        <c:ser>
          <c:idx val="6"/>
          <c:order val="6"/>
          <c:tx>
            <c:strRef>
              <c:f>'NS beam trawl under 300kW'!$C$98</c:f>
              <c:strCache>
                <c:ptCount val="1"/>
                <c:pt idx="0">
                  <c:v>Thornback Ray</c:v>
                </c:pt>
              </c:strCache>
            </c:strRef>
          </c:tx>
          <c:spPr>
            <a:solidFill>
              <a:srgbClr val="FED825"/>
            </a:solidFill>
            <a:ln>
              <a:solidFill>
                <a:srgbClr val="FFFFFF"/>
              </a:solidFill>
            </a:ln>
          </c:spPr>
          <c:invertIfNegative val="0"/>
          <c:cat>
            <c:numRef>
              <c:f>'NS beam trawl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under 300kW'!$D$98:$M$98</c:f>
              <c:numCache>
                <c:formatCode>0%</c:formatCode>
                <c:ptCount val="10"/>
                <c:pt idx="0">
                  <c:v>2.6079584878200276E-2</c:v>
                </c:pt>
                <c:pt idx="2">
                  <c:v>5.2218645734163072E-3</c:v>
                </c:pt>
                <c:pt idx="9">
                  <c:v>5.2124435675574758E-4</c:v>
                </c:pt>
              </c:numCache>
            </c:numRef>
          </c:val>
          <c:extLst>
            <c:ext xmlns:c16="http://schemas.microsoft.com/office/drawing/2014/chart" uri="{C3380CC4-5D6E-409C-BE32-E72D297353CC}">
              <c16:uniqueId val="{00000006-27E4-4878-A058-594D707E0EE1}"/>
            </c:ext>
          </c:extLst>
        </c:ser>
        <c:ser>
          <c:idx val="7"/>
          <c:order val="7"/>
          <c:tx>
            <c:strRef>
              <c:f>'NS beam trawl under 300kW'!$C$99</c:f>
              <c:strCache>
                <c:ptCount val="1"/>
                <c:pt idx="0">
                  <c:v>Cockles</c:v>
                </c:pt>
              </c:strCache>
            </c:strRef>
          </c:tx>
          <c:spPr>
            <a:solidFill>
              <a:srgbClr val="707271"/>
            </a:solidFill>
            <a:ln>
              <a:solidFill>
                <a:srgbClr val="FFFFFF"/>
              </a:solidFill>
            </a:ln>
          </c:spPr>
          <c:invertIfNegative val="0"/>
          <c:cat>
            <c:numRef>
              <c:f>'NS beam trawl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under 300kW'!$D$99:$M$99</c:f>
              <c:numCache>
                <c:formatCode>0%</c:formatCode>
                <c:ptCount val="10"/>
                <c:pt idx="0">
                  <c:v>0.26616171373245845</c:v>
                </c:pt>
                <c:pt idx="1">
                  <c:v>0.12030315793347739</c:v>
                </c:pt>
                <c:pt idx="2">
                  <c:v>9.7772231052043232E-2</c:v>
                </c:pt>
                <c:pt idx="3">
                  <c:v>0.14273414139646146</c:v>
                </c:pt>
                <c:pt idx="4">
                  <c:v>0.16625556390344598</c:v>
                </c:pt>
                <c:pt idx="6">
                  <c:v>2.543451329793567E-3</c:v>
                </c:pt>
                <c:pt idx="7">
                  <c:v>2.7078232119932596E-3</c:v>
                </c:pt>
              </c:numCache>
            </c:numRef>
          </c:val>
          <c:extLst>
            <c:ext xmlns:c16="http://schemas.microsoft.com/office/drawing/2014/chart" uri="{C3380CC4-5D6E-409C-BE32-E72D297353CC}">
              <c16:uniqueId val="{00000007-27E4-4878-A058-594D707E0EE1}"/>
            </c:ext>
          </c:extLst>
        </c:ser>
        <c:ser>
          <c:idx val="8"/>
          <c:order val="8"/>
          <c:tx>
            <c:strRef>
              <c:f>'NS beam trawl under 300kW'!$C$100</c:f>
              <c:strCache>
                <c:ptCount val="1"/>
                <c:pt idx="0">
                  <c:v>Cod</c:v>
                </c:pt>
              </c:strCache>
            </c:strRef>
          </c:tx>
          <c:spPr>
            <a:solidFill>
              <a:srgbClr val="51AA81"/>
            </a:solidFill>
            <a:ln>
              <a:solidFill>
                <a:srgbClr val="FFFFFF"/>
              </a:solidFill>
            </a:ln>
          </c:spPr>
          <c:invertIfNegative val="0"/>
          <c:cat>
            <c:numRef>
              <c:f>'NS beam trawl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under 300kW'!$D$100:$M$100</c:f>
              <c:numCache>
                <c:formatCode>0%</c:formatCode>
                <c:ptCount val="10"/>
                <c:pt idx="7">
                  <c:v>3.8814204480728843E-4</c:v>
                </c:pt>
              </c:numCache>
            </c:numRef>
          </c:val>
          <c:extLst>
            <c:ext xmlns:c16="http://schemas.microsoft.com/office/drawing/2014/chart" uri="{C3380CC4-5D6E-409C-BE32-E72D297353CC}">
              <c16:uniqueId val="{00000008-27E4-4878-A058-594D707E0EE1}"/>
            </c:ext>
          </c:extLst>
        </c:ser>
        <c:ser>
          <c:idx val="9"/>
          <c:order val="9"/>
          <c:tx>
            <c:strRef>
              <c:f>'NS beam trawl under 300kW'!$C$101</c:f>
              <c:strCache>
                <c:ptCount val="1"/>
                <c:pt idx="0">
                  <c:v>Scallops</c:v>
                </c:pt>
              </c:strCache>
            </c:strRef>
          </c:tx>
          <c:spPr>
            <a:solidFill>
              <a:srgbClr val="169FDB"/>
            </a:solidFill>
            <a:ln>
              <a:solidFill>
                <a:srgbClr val="FFFFFF"/>
              </a:solidFill>
            </a:ln>
          </c:spPr>
          <c:invertIfNegative val="0"/>
          <c:cat>
            <c:numRef>
              <c:f>'NS beam trawl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under 300kW'!$D$101:$M$101</c:f>
              <c:numCache>
                <c:formatCode>0%</c:formatCode>
                <c:ptCount val="10"/>
                <c:pt idx="1">
                  <c:v>0.12953963751837771</c:v>
                </c:pt>
                <c:pt idx="3">
                  <c:v>6.1941782503634338E-3</c:v>
                </c:pt>
                <c:pt idx="4">
                  <c:v>0.17309302293875659</c:v>
                </c:pt>
                <c:pt idx="5">
                  <c:v>1.7936070225214883E-2</c:v>
                </c:pt>
                <c:pt idx="6">
                  <c:v>1.9736091457578639E-2</c:v>
                </c:pt>
              </c:numCache>
            </c:numRef>
          </c:val>
          <c:extLst>
            <c:ext xmlns:c16="http://schemas.microsoft.com/office/drawing/2014/chart" uri="{C3380CC4-5D6E-409C-BE32-E72D297353CC}">
              <c16:uniqueId val="{00000009-27E4-4878-A058-594D707E0EE1}"/>
            </c:ext>
          </c:extLst>
        </c:ser>
        <c:ser>
          <c:idx val="10"/>
          <c:order val="10"/>
          <c:tx>
            <c:strRef>
              <c:f>'NS beam trawl under 300kW'!$C$102</c:f>
              <c:strCache>
                <c:ptCount val="1"/>
                <c:pt idx="0">
                  <c:v>Nephrops</c:v>
                </c:pt>
              </c:strCache>
            </c:strRef>
          </c:tx>
          <c:spPr>
            <a:solidFill>
              <a:srgbClr val="E40D2C"/>
            </a:solidFill>
            <a:ln>
              <a:solidFill>
                <a:srgbClr val="FFFFFF"/>
              </a:solidFill>
            </a:ln>
          </c:spPr>
          <c:invertIfNegative val="0"/>
          <c:cat>
            <c:numRef>
              <c:f>'NS beam trawl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under 300kW'!$D$102:$M$102</c:f>
              <c:numCache>
                <c:formatCode>0%</c:formatCode>
                <c:ptCount val="10"/>
                <c:pt idx="5">
                  <c:v>1.4638064064657445E-2</c:v>
                </c:pt>
              </c:numCache>
            </c:numRef>
          </c:val>
          <c:extLst>
            <c:ext xmlns:c16="http://schemas.microsoft.com/office/drawing/2014/chart" uri="{C3380CC4-5D6E-409C-BE32-E72D297353CC}">
              <c16:uniqueId val="{0000000A-27E4-4878-A058-594D707E0EE1}"/>
            </c:ext>
          </c:extLst>
        </c:ser>
        <c:ser>
          <c:idx val="11"/>
          <c:order val="11"/>
          <c:tx>
            <c:strRef>
              <c:f>'NS beam trawl under 300kW'!$C$103</c:f>
              <c:strCache>
                <c:ptCount val="1"/>
                <c:pt idx="0">
                  <c:v>Whiting</c:v>
                </c:pt>
              </c:strCache>
            </c:strRef>
          </c:tx>
          <c:spPr>
            <a:solidFill>
              <a:srgbClr val="B4C3E5"/>
            </a:solidFill>
            <a:ln>
              <a:solidFill>
                <a:srgbClr val="FFFFFF"/>
              </a:solidFill>
            </a:ln>
          </c:spPr>
          <c:invertIfNegative val="0"/>
          <c:cat>
            <c:numRef>
              <c:f>'NS beam trawl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under 300kW'!$D$103:$M$103</c:f>
              <c:numCache>
                <c:formatCode>0%</c:formatCode>
                <c:ptCount val="10"/>
                <c:pt idx="5">
                  <c:v>1.3992433296469034E-3</c:v>
                </c:pt>
              </c:numCache>
            </c:numRef>
          </c:val>
          <c:extLst>
            <c:ext xmlns:c16="http://schemas.microsoft.com/office/drawing/2014/chart" uri="{C3380CC4-5D6E-409C-BE32-E72D297353CC}">
              <c16:uniqueId val="{0000000B-27E4-4878-A058-594D707E0EE1}"/>
            </c:ext>
          </c:extLst>
        </c:ser>
        <c:ser>
          <c:idx val="12"/>
          <c:order val="12"/>
          <c:tx>
            <c:strRef>
              <c:f>'NS beam trawl under 300kW'!$C$104</c:f>
              <c:strCache>
                <c:ptCount val="1"/>
                <c:pt idx="0">
                  <c:v>Pink Shrimps</c:v>
                </c:pt>
              </c:strCache>
            </c:strRef>
          </c:tx>
          <c:spPr>
            <a:solidFill>
              <a:srgbClr val="F8CBA1"/>
            </a:solidFill>
            <a:ln>
              <a:solidFill>
                <a:srgbClr val="FFFFFF"/>
              </a:solidFill>
            </a:ln>
          </c:spPr>
          <c:invertIfNegative val="0"/>
          <c:cat>
            <c:numRef>
              <c:f>'NS beam trawl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under 300kW'!$D$104:$M$104</c:f>
              <c:numCache>
                <c:formatCode>0%</c:formatCode>
                <c:ptCount val="10"/>
                <c:pt idx="0">
                  <c:v>3.3906238943507569E-2</c:v>
                </c:pt>
                <c:pt idx="1">
                  <c:v>1.0661954741569318E-2</c:v>
                </c:pt>
                <c:pt idx="2">
                  <c:v>7.5626714770666379E-3</c:v>
                </c:pt>
                <c:pt idx="3">
                  <c:v>1.0064324158753774E-2</c:v>
                </c:pt>
                <c:pt idx="4">
                  <c:v>2.7391022272431113E-3</c:v>
                </c:pt>
              </c:numCache>
            </c:numRef>
          </c:val>
          <c:extLst>
            <c:ext xmlns:c16="http://schemas.microsoft.com/office/drawing/2014/chart" uri="{C3380CC4-5D6E-409C-BE32-E72D297353CC}">
              <c16:uniqueId val="{0000000C-27E4-4878-A058-594D707E0EE1}"/>
            </c:ext>
          </c:extLst>
        </c:ser>
        <c:ser>
          <c:idx val="13"/>
          <c:order val="13"/>
          <c:tx>
            <c:strRef>
              <c:f>'NS beam trawl under 300kW'!$C$105</c:f>
              <c:strCache>
                <c:ptCount val="1"/>
                <c:pt idx="0">
                  <c:v>Bass</c:v>
                </c:pt>
              </c:strCache>
            </c:strRef>
          </c:tx>
          <c:spPr>
            <a:solidFill>
              <a:srgbClr val="C5CDA6"/>
            </a:solidFill>
            <a:ln>
              <a:solidFill>
                <a:srgbClr val="FFFFFF"/>
              </a:solidFill>
            </a:ln>
          </c:spPr>
          <c:invertIfNegative val="0"/>
          <c:cat>
            <c:numRef>
              <c:f>'NS beam trawl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under 300kW'!$D$105:$M$105</c:f>
              <c:numCache>
                <c:formatCode>0%</c:formatCode>
                <c:ptCount val="10"/>
                <c:pt idx="1">
                  <c:v>6.443818662694085E-3</c:v>
                </c:pt>
              </c:numCache>
            </c:numRef>
          </c:val>
          <c:extLst>
            <c:ext xmlns:c16="http://schemas.microsoft.com/office/drawing/2014/chart" uri="{C3380CC4-5D6E-409C-BE32-E72D297353CC}">
              <c16:uniqueId val="{0000000D-27E4-4878-A058-594D707E0EE1}"/>
            </c:ext>
          </c:extLst>
        </c:ser>
        <c:ser>
          <c:idx val="14"/>
          <c:order val="14"/>
          <c:tx>
            <c:strRef>
              <c:f>'NS beam trawl under 300kW'!$C$106</c:f>
              <c:strCache>
                <c:ptCount val="1"/>
                <c:pt idx="0">
                  <c:v>Others</c:v>
                </c:pt>
              </c:strCache>
            </c:strRef>
          </c:tx>
          <c:spPr>
            <a:solidFill>
              <a:srgbClr val="55585A"/>
            </a:solidFill>
            <a:ln>
              <a:solidFill>
                <a:srgbClr val="FFFFFF"/>
              </a:solidFill>
            </a:ln>
          </c:spPr>
          <c:invertIfNegative val="0"/>
          <c:cat>
            <c:numRef>
              <c:f>'NS beam trawl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under 300kW'!$D$106:$M$106</c:f>
              <c:numCache>
                <c:formatCode>0%</c:formatCode>
                <c:ptCount val="10"/>
                <c:pt idx="0">
                  <c:v>3.3209991432797868E-2</c:v>
                </c:pt>
                <c:pt idx="1">
                  <c:v>7.8075827087951506E-3</c:v>
                </c:pt>
                <c:pt idx="2">
                  <c:v>5.3270898197671111E-3</c:v>
                </c:pt>
                <c:pt idx="3">
                  <c:v>7.0135736190726234E-3</c:v>
                </c:pt>
                <c:pt idx="4">
                  <c:v>0</c:v>
                </c:pt>
                <c:pt idx="5">
                  <c:v>2.282483490712809E-3</c:v>
                </c:pt>
                <c:pt idx="6">
                  <c:v>-1.2165742967762598E-8</c:v>
                </c:pt>
                <c:pt idx="7">
                  <c:v>4.5012009371946763E-5</c:v>
                </c:pt>
                <c:pt idx="8">
                  <c:v>1.6068031879033036E-4</c:v>
                </c:pt>
                <c:pt idx="9">
                  <c:v>1.3870251624913577E-3</c:v>
                </c:pt>
              </c:numCache>
            </c:numRef>
          </c:val>
          <c:extLst>
            <c:ext xmlns:c16="http://schemas.microsoft.com/office/drawing/2014/chart" uri="{C3380CC4-5D6E-409C-BE32-E72D297353CC}">
              <c16:uniqueId val="{0000000E-27E4-4878-A058-594D707E0EE1}"/>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 beam trawl under 300kW'!$B$162</c:f>
              <c:strCache>
                <c:ptCount val="1"/>
                <c:pt idx="0">
                  <c:v>Brown Shrimps</c:v>
                </c:pt>
              </c:strCache>
            </c:strRef>
          </c:tx>
          <c:spPr>
            <a:solidFill>
              <a:srgbClr val="2273B9"/>
            </a:solidFill>
            <a:ln>
              <a:solidFill>
                <a:srgbClr val="FFFFFF"/>
              </a:solidFill>
            </a:ln>
          </c:spPr>
          <c:invertIfNegative val="0"/>
          <c:cat>
            <c:strRef>
              <c:f>'NS beam trawl under 300kW'!$C$161:$E$161</c:f>
              <c:strCache>
                <c:ptCount val="3"/>
                <c:pt idx="0">
                  <c:v>Most
profitable
quartile</c:v>
                </c:pt>
                <c:pt idx="1">
                  <c:v>Middle 
two quartiles</c:v>
                </c:pt>
                <c:pt idx="2">
                  <c:v>Least
profitable
quartile</c:v>
                </c:pt>
              </c:strCache>
            </c:strRef>
          </c:cat>
          <c:val>
            <c:numRef>
              <c:f>'NS beam trawl under 300kW'!$C$162:$E$162</c:f>
              <c:numCache>
                <c:formatCode>0%</c:formatCode>
                <c:ptCount val="3"/>
                <c:pt idx="0">
                  <c:v>0</c:v>
                </c:pt>
                <c:pt idx="1">
                  <c:v>0.99822435421293132</c:v>
                </c:pt>
                <c:pt idx="2">
                  <c:v>0</c:v>
                </c:pt>
              </c:numCache>
            </c:numRef>
          </c:val>
          <c:extLst>
            <c:ext xmlns:c16="http://schemas.microsoft.com/office/drawing/2014/chart" uri="{C3380CC4-5D6E-409C-BE32-E72D297353CC}">
              <c16:uniqueId val="{00000000-2570-4C6B-BE60-7972D58C4FAE}"/>
            </c:ext>
          </c:extLst>
        </c:ser>
        <c:ser>
          <c:idx val="1"/>
          <c:order val="1"/>
          <c:tx>
            <c:strRef>
              <c:f>'NS beam trawl under 300kW'!$B$163</c:f>
              <c:strCache>
                <c:ptCount val="1"/>
                <c:pt idx="0">
                  <c:v>Sole</c:v>
                </c:pt>
              </c:strCache>
            </c:strRef>
          </c:tx>
          <c:spPr>
            <a:solidFill>
              <a:srgbClr val="E84A38"/>
            </a:solidFill>
            <a:ln>
              <a:solidFill>
                <a:srgbClr val="FFFFFF"/>
              </a:solidFill>
            </a:ln>
          </c:spPr>
          <c:invertIfNegative val="0"/>
          <c:cat>
            <c:strRef>
              <c:f>'NS beam trawl under 300kW'!$C$161:$E$161</c:f>
              <c:strCache>
                <c:ptCount val="3"/>
                <c:pt idx="0">
                  <c:v>Most
profitable
quartile</c:v>
                </c:pt>
                <c:pt idx="1">
                  <c:v>Middle 
two quartiles</c:v>
                </c:pt>
                <c:pt idx="2">
                  <c:v>Least
profitable
quartile</c:v>
                </c:pt>
              </c:strCache>
            </c:strRef>
          </c:cat>
          <c:val>
            <c:numRef>
              <c:f>'NS beam trawl under 300kW'!$C$163:$E$163</c:f>
              <c:numCache>
                <c:formatCode>0%</c:formatCode>
                <c:ptCount val="3"/>
                <c:pt idx="0">
                  <c:v>0</c:v>
                </c:pt>
                <c:pt idx="1">
                  <c:v>1.2021543207031615E-3</c:v>
                </c:pt>
                <c:pt idx="2">
                  <c:v>0</c:v>
                </c:pt>
              </c:numCache>
            </c:numRef>
          </c:val>
          <c:extLst>
            <c:ext xmlns:c16="http://schemas.microsoft.com/office/drawing/2014/chart" uri="{C3380CC4-5D6E-409C-BE32-E72D297353CC}">
              <c16:uniqueId val="{00000001-2570-4C6B-BE60-7972D58C4FAE}"/>
            </c:ext>
          </c:extLst>
        </c:ser>
        <c:ser>
          <c:idx val="2"/>
          <c:order val="2"/>
          <c:tx>
            <c:strRef>
              <c:f>'NS beam trawl under 300kW'!$B$164</c:f>
              <c:strCache>
                <c:ptCount val="1"/>
                <c:pt idx="0">
                  <c:v>Whiting</c:v>
                </c:pt>
              </c:strCache>
            </c:strRef>
          </c:tx>
          <c:spPr>
            <a:solidFill>
              <a:srgbClr val="0F9AA9"/>
            </a:solidFill>
            <a:ln>
              <a:solidFill>
                <a:srgbClr val="FFFFFF"/>
              </a:solidFill>
            </a:ln>
          </c:spPr>
          <c:invertIfNegative val="0"/>
          <c:cat>
            <c:strRef>
              <c:f>'NS beam trawl under 300kW'!$C$161:$E$161</c:f>
              <c:strCache>
                <c:ptCount val="3"/>
                <c:pt idx="0">
                  <c:v>Most
profitable
quartile</c:v>
                </c:pt>
                <c:pt idx="1">
                  <c:v>Middle 
two quartiles</c:v>
                </c:pt>
                <c:pt idx="2">
                  <c:v>Least
profitable
quartile</c:v>
                </c:pt>
              </c:strCache>
            </c:strRef>
          </c:cat>
          <c:val>
            <c:numRef>
              <c:f>'NS beam trawl under 300kW'!$C$164:$E$164</c:f>
              <c:numCache>
                <c:formatCode>0%</c:formatCode>
                <c:ptCount val="3"/>
                <c:pt idx="0">
                  <c:v>0</c:v>
                </c:pt>
                <c:pt idx="1">
                  <c:v>3.665989744363395E-4</c:v>
                </c:pt>
                <c:pt idx="2">
                  <c:v>0</c:v>
                </c:pt>
              </c:numCache>
            </c:numRef>
          </c:val>
          <c:extLst>
            <c:ext xmlns:c16="http://schemas.microsoft.com/office/drawing/2014/chart" uri="{C3380CC4-5D6E-409C-BE32-E72D297353CC}">
              <c16:uniqueId val="{00000002-2570-4C6B-BE60-7972D58C4FAE}"/>
            </c:ext>
          </c:extLst>
        </c:ser>
        <c:ser>
          <c:idx val="3"/>
          <c:order val="3"/>
          <c:tx>
            <c:strRef>
              <c:f>'NS beam trawl under 300kW'!$B$165</c:f>
              <c:strCache>
                <c:ptCount val="1"/>
                <c:pt idx="0">
                  <c:v>Brown Crab</c:v>
                </c:pt>
              </c:strCache>
            </c:strRef>
          </c:tx>
          <c:spPr>
            <a:solidFill>
              <a:srgbClr val="648C2E"/>
            </a:solidFill>
            <a:ln>
              <a:solidFill>
                <a:srgbClr val="FFFFFF"/>
              </a:solidFill>
            </a:ln>
          </c:spPr>
          <c:invertIfNegative val="0"/>
          <c:cat>
            <c:strRef>
              <c:f>'NS beam trawl under 300kW'!$C$161:$E$161</c:f>
              <c:strCache>
                <c:ptCount val="3"/>
                <c:pt idx="0">
                  <c:v>Most
profitable
quartile</c:v>
                </c:pt>
                <c:pt idx="1">
                  <c:v>Middle 
two quartiles</c:v>
                </c:pt>
                <c:pt idx="2">
                  <c:v>Least
profitable
quartile</c:v>
                </c:pt>
              </c:strCache>
            </c:strRef>
          </c:cat>
          <c:val>
            <c:numRef>
              <c:f>'NS beam trawl under 300kW'!$C$165:$E$165</c:f>
              <c:numCache>
                <c:formatCode>0%</c:formatCode>
                <c:ptCount val="3"/>
                <c:pt idx="0">
                  <c:v>0</c:v>
                </c:pt>
                <c:pt idx="1">
                  <c:v>1.3066894084773844E-4</c:v>
                </c:pt>
                <c:pt idx="2">
                  <c:v>0</c:v>
                </c:pt>
              </c:numCache>
            </c:numRef>
          </c:val>
          <c:extLst>
            <c:ext xmlns:c16="http://schemas.microsoft.com/office/drawing/2014/chart" uri="{C3380CC4-5D6E-409C-BE32-E72D297353CC}">
              <c16:uniqueId val="{00000003-2570-4C6B-BE60-7972D58C4FAE}"/>
            </c:ext>
          </c:extLst>
        </c:ser>
        <c:ser>
          <c:idx val="4"/>
          <c:order val="4"/>
          <c:tx>
            <c:strRef>
              <c:f>'NS beam trawl under 300kW'!$B$166</c:f>
              <c:strCache>
                <c:ptCount val="1"/>
                <c:pt idx="0">
                  <c:v>Cod</c:v>
                </c:pt>
              </c:strCache>
            </c:strRef>
          </c:tx>
          <c:spPr>
            <a:solidFill>
              <a:srgbClr val="FED825"/>
            </a:solidFill>
            <a:ln>
              <a:solidFill>
                <a:srgbClr val="FFFFFF"/>
              </a:solidFill>
            </a:ln>
          </c:spPr>
          <c:invertIfNegative val="0"/>
          <c:cat>
            <c:strRef>
              <c:f>'NS beam trawl under 300kW'!$C$161:$E$161</c:f>
              <c:strCache>
                <c:ptCount val="3"/>
                <c:pt idx="0">
                  <c:v>Most
profitable
quartile</c:v>
                </c:pt>
                <c:pt idx="1">
                  <c:v>Middle 
two quartiles</c:v>
                </c:pt>
                <c:pt idx="2">
                  <c:v>Least
profitable
quartile</c:v>
                </c:pt>
              </c:strCache>
            </c:strRef>
          </c:cat>
          <c:val>
            <c:numRef>
              <c:f>'NS beam trawl under 300kW'!$C$166:$E$166</c:f>
              <c:numCache>
                <c:formatCode>0%</c:formatCode>
                <c:ptCount val="3"/>
                <c:pt idx="0">
                  <c:v>0</c:v>
                </c:pt>
                <c:pt idx="1">
                  <c:v>5.0089762235826731E-5</c:v>
                </c:pt>
                <c:pt idx="2">
                  <c:v>0</c:v>
                </c:pt>
              </c:numCache>
            </c:numRef>
          </c:val>
          <c:extLst>
            <c:ext xmlns:c16="http://schemas.microsoft.com/office/drawing/2014/chart" uri="{C3380CC4-5D6E-409C-BE32-E72D297353CC}">
              <c16:uniqueId val="{00000004-2570-4C6B-BE60-7972D58C4FAE}"/>
            </c:ext>
          </c:extLst>
        </c:ser>
        <c:ser>
          <c:idx val="5"/>
          <c:order val="5"/>
          <c:tx>
            <c:strRef>
              <c:f>'NS beam trawl under 300kW'!$B$167</c:f>
              <c:strCache>
                <c:ptCount val="1"/>
                <c:pt idx="0">
                  <c:v>Whelks</c:v>
                </c:pt>
              </c:strCache>
            </c:strRef>
          </c:tx>
          <c:spPr>
            <a:solidFill>
              <a:srgbClr val="E87308"/>
            </a:solidFill>
            <a:ln>
              <a:solidFill>
                <a:srgbClr val="FFFFFF"/>
              </a:solidFill>
            </a:ln>
          </c:spPr>
          <c:invertIfNegative val="0"/>
          <c:cat>
            <c:strRef>
              <c:f>'NS beam trawl under 300kW'!$C$161:$E$161</c:f>
              <c:strCache>
                <c:ptCount val="3"/>
                <c:pt idx="0">
                  <c:v>Most
profitable
quartile</c:v>
                </c:pt>
                <c:pt idx="1">
                  <c:v>Middle 
two quartiles</c:v>
                </c:pt>
                <c:pt idx="2">
                  <c:v>Least
profitable
quartile</c:v>
                </c:pt>
              </c:strCache>
            </c:strRef>
          </c:cat>
          <c:val>
            <c:numRef>
              <c:f>'NS beam trawl under 300kW'!$C$167:$E$167</c:f>
              <c:numCache>
                <c:formatCode>0%</c:formatCode>
                <c:ptCount val="3"/>
                <c:pt idx="0">
                  <c:v>0</c:v>
                </c:pt>
                <c:pt idx="1">
                  <c:v>0</c:v>
                </c:pt>
                <c:pt idx="2">
                  <c:v>0</c:v>
                </c:pt>
              </c:numCache>
            </c:numRef>
          </c:val>
          <c:extLst>
            <c:ext xmlns:c16="http://schemas.microsoft.com/office/drawing/2014/chart" uri="{C3380CC4-5D6E-409C-BE32-E72D297353CC}">
              <c16:uniqueId val="{00000005-2570-4C6B-BE60-7972D58C4FAE}"/>
            </c:ext>
          </c:extLst>
        </c:ser>
        <c:ser>
          <c:idx val="6"/>
          <c:order val="6"/>
          <c:tx>
            <c:strRef>
              <c:f>'NS beam trawl under 300kW'!$B$168</c:f>
              <c:strCache>
                <c:ptCount val="1"/>
                <c:pt idx="0">
                  <c:v>Lobsters</c:v>
                </c:pt>
              </c:strCache>
            </c:strRef>
          </c:tx>
          <c:spPr>
            <a:solidFill>
              <a:srgbClr val="C1D119"/>
            </a:solidFill>
            <a:ln>
              <a:solidFill>
                <a:srgbClr val="FFFFFF"/>
              </a:solidFill>
            </a:ln>
          </c:spPr>
          <c:invertIfNegative val="0"/>
          <c:cat>
            <c:strRef>
              <c:f>'NS beam trawl under 300kW'!$C$161:$E$161</c:f>
              <c:strCache>
                <c:ptCount val="3"/>
                <c:pt idx="0">
                  <c:v>Most
profitable
quartile</c:v>
                </c:pt>
                <c:pt idx="1">
                  <c:v>Middle 
two quartiles</c:v>
                </c:pt>
                <c:pt idx="2">
                  <c:v>Least
profitable
quartile</c:v>
                </c:pt>
              </c:strCache>
            </c:strRef>
          </c:cat>
          <c:val>
            <c:numRef>
              <c:f>'NS beam trawl under 300kW'!$C$168:$E$168</c:f>
              <c:numCache>
                <c:formatCode>0%</c:formatCode>
                <c:ptCount val="3"/>
                <c:pt idx="0">
                  <c:v>0</c:v>
                </c:pt>
                <c:pt idx="1">
                  <c:v>0</c:v>
                </c:pt>
                <c:pt idx="2">
                  <c:v>0</c:v>
                </c:pt>
              </c:numCache>
            </c:numRef>
          </c:val>
          <c:extLst>
            <c:ext xmlns:c16="http://schemas.microsoft.com/office/drawing/2014/chart" uri="{C3380CC4-5D6E-409C-BE32-E72D297353CC}">
              <c16:uniqueId val="{00000006-2570-4C6B-BE60-7972D58C4FAE}"/>
            </c:ext>
          </c:extLst>
        </c:ser>
        <c:ser>
          <c:idx val="7"/>
          <c:order val="7"/>
          <c:tx>
            <c:strRef>
              <c:f>'NS beam trawl under 300kW'!$B$169</c:f>
              <c:strCache>
                <c:ptCount val="1"/>
                <c:pt idx="0">
                  <c:v>Green Crab</c:v>
                </c:pt>
              </c:strCache>
            </c:strRef>
          </c:tx>
          <c:spPr>
            <a:solidFill>
              <a:srgbClr val="707271"/>
            </a:solidFill>
            <a:ln>
              <a:solidFill>
                <a:srgbClr val="FFFFFF"/>
              </a:solidFill>
            </a:ln>
          </c:spPr>
          <c:invertIfNegative val="0"/>
          <c:cat>
            <c:strRef>
              <c:f>'NS beam trawl under 300kW'!$C$161:$E$161</c:f>
              <c:strCache>
                <c:ptCount val="3"/>
                <c:pt idx="0">
                  <c:v>Most
profitable
quartile</c:v>
                </c:pt>
                <c:pt idx="1">
                  <c:v>Middle 
two quartiles</c:v>
                </c:pt>
                <c:pt idx="2">
                  <c:v>Least
profitable
quartile</c:v>
                </c:pt>
              </c:strCache>
            </c:strRef>
          </c:cat>
          <c:val>
            <c:numRef>
              <c:f>'NS beam trawl under 300kW'!$C$169:$E$169</c:f>
              <c:numCache>
                <c:formatCode>0%</c:formatCode>
                <c:ptCount val="3"/>
                <c:pt idx="0">
                  <c:v>0</c:v>
                </c:pt>
                <c:pt idx="1">
                  <c:v>0</c:v>
                </c:pt>
                <c:pt idx="2">
                  <c:v>0</c:v>
                </c:pt>
              </c:numCache>
            </c:numRef>
          </c:val>
          <c:extLst>
            <c:ext xmlns:c16="http://schemas.microsoft.com/office/drawing/2014/chart" uri="{C3380CC4-5D6E-409C-BE32-E72D297353CC}">
              <c16:uniqueId val="{00000007-2570-4C6B-BE60-7972D58C4FAE}"/>
            </c:ext>
          </c:extLst>
        </c:ser>
        <c:ser>
          <c:idx val="8"/>
          <c:order val="8"/>
          <c:tx>
            <c:strRef>
              <c:f>'NS beam trawl under 300kW'!$B$170</c:f>
              <c:strCache>
                <c:ptCount val="1"/>
                <c:pt idx="0">
                  <c:v>Others</c:v>
                </c:pt>
              </c:strCache>
            </c:strRef>
          </c:tx>
          <c:spPr>
            <a:solidFill>
              <a:srgbClr val="55585A"/>
            </a:solidFill>
            <a:ln>
              <a:solidFill>
                <a:srgbClr val="FFFFFF"/>
              </a:solidFill>
            </a:ln>
          </c:spPr>
          <c:invertIfNegative val="0"/>
          <c:cat>
            <c:strRef>
              <c:f>'NS beam trawl under 300kW'!$C$161:$E$161</c:f>
              <c:strCache>
                <c:ptCount val="3"/>
                <c:pt idx="0">
                  <c:v>Most
profitable
quartile</c:v>
                </c:pt>
                <c:pt idx="1">
                  <c:v>Middle 
two quartiles</c:v>
                </c:pt>
                <c:pt idx="2">
                  <c:v>Least
profitable
quartile</c:v>
                </c:pt>
              </c:strCache>
            </c:strRef>
          </c:cat>
          <c:val>
            <c:numRef>
              <c:f>'NS beam trawl under 300kW'!$C$170:$E$170</c:f>
              <c:numCache>
                <c:formatCode>0%</c:formatCode>
                <c:ptCount val="3"/>
                <c:pt idx="0">
                  <c:v>0</c:v>
                </c:pt>
                <c:pt idx="1">
                  <c:v>2.6133788845528194E-5</c:v>
                </c:pt>
                <c:pt idx="2">
                  <c:v>0</c:v>
                </c:pt>
              </c:numCache>
            </c:numRef>
          </c:val>
          <c:extLst>
            <c:ext xmlns:c16="http://schemas.microsoft.com/office/drawing/2014/chart" uri="{C3380CC4-5D6E-409C-BE32-E72D297353CC}">
              <c16:uniqueId val="{00000008-2570-4C6B-BE60-7972D58C4FAE}"/>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 beam trawl under 300kW'!$H$162</c:f>
              <c:strCache>
                <c:ptCount val="1"/>
                <c:pt idx="0">
                  <c:v>Brown Shrimps</c:v>
                </c:pt>
              </c:strCache>
            </c:strRef>
          </c:tx>
          <c:spPr>
            <a:solidFill>
              <a:srgbClr val="2273B9"/>
            </a:solidFill>
            <a:ln>
              <a:solidFill>
                <a:srgbClr val="FFFFFF"/>
              </a:solidFill>
            </a:ln>
          </c:spPr>
          <c:invertIfNegative val="0"/>
          <c:cat>
            <c:strRef>
              <c:f>'NS beam trawl under 300kW'!$I$161:$K$161</c:f>
              <c:strCache>
                <c:ptCount val="3"/>
                <c:pt idx="0">
                  <c:v>Most
profitable
quartile</c:v>
                </c:pt>
                <c:pt idx="1">
                  <c:v>Middle 
two quartiles</c:v>
                </c:pt>
                <c:pt idx="2">
                  <c:v>Least
profitable
quartile</c:v>
                </c:pt>
              </c:strCache>
            </c:strRef>
          </c:cat>
          <c:val>
            <c:numRef>
              <c:f>'NS beam trawl under 300kW'!$I$162:$K$162</c:f>
              <c:numCache>
                <c:formatCode>0%</c:formatCode>
                <c:ptCount val="3"/>
                <c:pt idx="0">
                  <c:v>0</c:v>
                </c:pt>
                <c:pt idx="1">
                  <c:v>0.99460850438670678</c:v>
                </c:pt>
                <c:pt idx="2">
                  <c:v>0</c:v>
                </c:pt>
              </c:numCache>
            </c:numRef>
          </c:val>
          <c:extLst>
            <c:ext xmlns:c16="http://schemas.microsoft.com/office/drawing/2014/chart" uri="{C3380CC4-5D6E-409C-BE32-E72D297353CC}">
              <c16:uniqueId val="{00000000-14CA-45D1-A9BE-9FEC231E8E05}"/>
            </c:ext>
          </c:extLst>
        </c:ser>
        <c:ser>
          <c:idx val="1"/>
          <c:order val="1"/>
          <c:tx>
            <c:strRef>
              <c:f>'NS beam trawl under 300kW'!$H$163</c:f>
              <c:strCache>
                <c:ptCount val="1"/>
                <c:pt idx="0">
                  <c:v>Sole</c:v>
                </c:pt>
              </c:strCache>
            </c:strRef>
          </c:tx>
          <c:spPr>
            <a:solidFill>
              <a:srgbClr val="E84A38"/>
            </a:solidFill>
            <a:ln>
              <a:solidFill>
                <a:srgbClr val="FFFFFF"/>
              </a:solidFill>
            </a:ln>
          </c:spPr>
          <c:invertIfNegative val="0"/>
          <c:cat>
            <c:strRef>
              <c:f>'NS beam trawl under 300kW'!$I$161:$K$161</c:f>
              <c:strCache>
                <c:ptCount val="3"/>
                <c:pt idx="0">
                  <c:v>Most
profitable
quartile</c:v>
                </c:pt>
                <c:pt idx="1">
                  <c:v>Middle 
two quartiles</c:v>
                </c:pt>
                <c:pt idx="2">
                  <c:v>Least
profitable
quartile</c:v>
                </c:pt>
              </c:strCache>
            </c:strRef>
          </c:cat>
          <c:val>
            <c:numRef>
              <c:f>'NS beam trawl under 300kW'!$I$163:$K$163</c:f>
              <c:numCache>
                <c:formatCode>0%</c:formatCode>
                <c:ptCount val="3"/>
                <c:pt idx="0">
                  <c:v>0</c:v>
                </c:pt>
                <c:pt idx="1">
                  <c:v>4.84975312073132E-3</c:v>
                </c:pt>
                <c:pt idx="2">
                  <c:v>0</c:v>
                </c:pt>
              </c:numCache>
            </c:numRef>
          </c:val>
          <c:extLst>
            <c:ext xmlns:c16="http://schemas.microsoft.com/office/drawing/2014/chart" uri="{C3380CC4-5D6E-409C-BE32-E72D297353CC}">
              <c16:uniqueId val="{00000001-14CA-45D1-A9BE-9FEC231E8E05}"/>
            </c:ext>
          </c:extLst>
        </c:ser>
        <c:ser>
          <c:idx val="2"/>
          <c:order val="2"/>
          <c:tx>
            <c:strRef>
              <c:f>'NS beam trawl under 300kW'!$H$164</c:f>
              <c:strCache>
                <c:ptCount val="1"/>
                <c:pt idx="0">
                  <c:v>Brown Crab</c:v>
                </c:pt>
              </c:strCache>
            </c:strRef>
          </c:tx>
          <c:spPr>
            <a:solidFill>
              <a:srgbClr val="648C2E"/>
            </a:solidFill>
            <a:ln>
              <a:solidFill>
                <a:srgbClr val="FFFFFF"/>
              </a:solidFill>
            </a:ln>
          </c:spPr>
          <c:invertIfNegative val="0"/>
          <c:cat>
            <c:strRef>
              <c:f>'NS beam trawl under 300kW'!$I$161:$K$161</c:f>
              <c:strCache>
                <c:ptCount val="3"/>
                <c:pt idx="0">
                  <c:v>Most
profitable
quartile</c:v>
                </c:pt>
                <c:pt idx="1">
                  <c:v>Middle 
two quartiles</c:v>
                </c:pt>
                <c:pt idx="2">
                  <c:v>Least
profitable
quartile</c:v>
                </c:pt>
              </c:strCache>
            </c:strRef>
          </c:cat>
          <c:val>
            <c:numRef>
              <c:f>'NS beam trawl under 300kW'!$I$164:$K$164</c:f>
              <c:numCache>
                <c:formatCode>0%</c:formatCode>
                <c:ptCount val="3"/>
                <c:pt idx="0">
                  <c:v>0</c:v>
                </c:pt>
                <c:pt idx="1">
                  <c:v>1.879805917589754E-4</c:v>
                </c:pt>
                <c:pt idx="2">
                  <c:v>0</c:v>
                </c:pt>
              </c:numCache>
            </c:numRef>
          </c:val>
          <c:extLst>
            <c:ext xmlns:c16="http://schemas.microsoft.com/office/drawing/2014/chart" uri="{C3380CC4-5D6E-409C-BE32-E72D297353CC}">
              <c16:uniqueId val="{00000002-14CA-45D1-A9BE-9FEC231E8E05}"/>
            </c:ext>
          </c:extLst>
        </c:ser>
        <c:ser>
          <c:idx val="3"/>
          <c:order val="3"/>
          <c:tx>
            <c:strRef>
              <c:f>'NS beam trawl under 300kW'!$H$165</c:f>
              <c:strCache>
                <c:ptCount val="1"/>
                <c:pt idx="0">
                  <c:v>Whiting</c:v>
                </c:pt>
              </c:strCache>
            </c:strRef>
          </c:tx>
          <c:spPr>
            <a:solidFill>
              <a:srgbClr val="0F9AA9"/>
            </a:solidFill>
            <a:ln>
              <a:solidFill>
                <a:srgbClr val="FFFFFF"/>
              </a:solidFill>
            </a:ln>
          </c:spPr>
          <c:invertIfNegative val="0"/>
          <c:cat>
            <c:strRef>
              <c:f>'NS beam trawl under 300kW'!$I$161:$K$161</c:f>
              <c:strCache>
                <c:ptCount val="3"/>
                <c:pt idx="0">
                  <c:v>Most
profitable
quartile</c:v>
                </c:pt>
                <c:pt idx="1">
                  <c:v>Middle 
two quartiles</c:v>
                </c:pt>
                <c:pt idx="2">
                  <c:v>Least
profitable
quartile</c:v>
                </c:pt>
              </c:strCache>
            </c:strRef>
          </c:cat>
          <c:val>
            <c:numRef>
              <c:f>'NS beam trawl under 300kW'!$I$165:$K$165</c:f>
              <c:numCache>
                <c:formatCode>0%</c:formatCode>
                <c:ptCount val="3"/>
                <c:pt idx="0">
                  <c:v>0</c:v>
                </c:pt>
                <c:pt idx="1">
                  <c:v>1.696213826975773E-4</c:v>
                </c:pt>
                <c:pt idx="2">
                  <c:v>0</c:v>
                </c:pt>
              </c:numCache>
            </c:numRef>
          </c:val>
          <c:extLst>
            <c:ext xmlns:c16="http://schemas.microsoft.com/office/drawing/2014/chart" uri="{C3380CC4-5D6E-409C-BE32-E72D297353CC}">
              <c16:uniqueId val="{00000003-14CA-45D1-A9BE-9FEC231E8E05}"/>
            </c:ext>
          </c:extLst>
        </c:ser>
        <c:ser>
          <c:idx val="4"/>
          <c:order val="4"/>
          <c:tx>
            <c:strRef>
              <c:f>'NS beam trawl under 300kW'!$H$166</c:f>
              <c:strCache>
                <c:ptCount val="1"/>
                <c:pt idx="0">
                  <c:v>Lobsters</c:v>
                </c:pt>
              </c:strCache>
            </c:strRef>
          </c:tx>
          <c:spPr>
            <a:solidFill>
              <a:srgbClr val="C1D119"/>
            </a:solidFill>
            <a:ln>
              <a:solidFill>
                <a:srgbClr val="FFFFFF"/>
              </a:solidFill>
            </a:ln>
          </c:spPr>
          <c:invertIfNegative val="0"/>
          <c:cat>
            <c:strRef>
              <c:f>'NS beam trawl under 300kW'!$I$161:$K$161</c:f>
              <c:strCache>
                <c:ptCount val="3"/>
                <c:pt idx="0">
                  <c:v>Most
profitable
quartile</c:v>
                </c:pt>
                <c:pt idx="1">
                  <c:v>Middle 
two quartiles</c:v>
                </c:pt>
                <c:pt idx="2">
                  <c:v>Least
profitable
quartile</c:v>
                </c:pt>
              </c:strCache>
            </c:strRef>
          </c:cat>
          <c:val>
            <c:numRef>
              <c:f>'NS beam trawl under 300kW'!$I$166:$K$166</c:f>
              <c:numCache>
                <c:formatCode>0%</c:formatCode>
                <c:ptCount val="3"/>
                <c:pt idx="0">
                  <c:v>0</c:v>
                </c:pt>
                <c:pt idx="1">
                  <c:v>9.8415516447087663E-5</c:v>
                </c:pt>
                <c:pt idx="2">
                  <c:v>0</c:v>
                </c:pt>
              </c:numCache>
            </c:numRef>
          </c:val>
          <c:extLst>
            <c:ext xmlns:c16="http://schemas.microsoft.com/office/drawing/2014/chart" uri="{C3380CC4-5D6E-409C-BE32-E72D297353CC}">
              <c16:uniqueId val="{00000004-14CA-45D1-A9BE-9FEC231E8E05}"/>
            </c:ext>
          </c:extLst>
        </c:ser>
        <c:ser>
          <c:idx val="5"/>
          <c:order val="5"/>
          <c:tx>
            <c:strRef>
              <c:f>'NS beam trawl under 300kW'!$H$167</c:f>
              <c:strCache>
                <c:ptCount val="1"/>
                <c:pt idx="0">
                  <c:v>Whelks</c:v>
                </c:pt>
              </c:strCache>
            </c:strRef>
          </c:tx>
          <c:spPr>
            <a:solidFill>
              <a:srgbClr val="E87308"/>
            </a:solidFill>
            <a:ln>
              <a:solidFill>
                <a:srgbClr val="FFFFFF"/>
              </a:solidFill>
            </a:ln>
          </c:spPr>
          <c:invertIfNegative val="0"/>
          <c:cat>
            <c:strRef>
              <c:f>'NS beam trawl under 300kW'!$I$161:$K$161</c:f>
              <c:strCache>
                <c:ptCount val="3"/>
                <c:pt idx="0">
                  <c:v>Most
profitable
quartile</c:v>
                </c:pt>
                <c:pt idx="1">
                  <c:v>Middle 
two quartiles</c:v>
                </c:pt>
                <c:pt idx="2">
                  <c:v>Least
profitable
quartile</c:v>
                </c:pt>
              </c:strCache>
            </c:strRef>
          </c:cat>
          <c:val>
            <c:numRef>
              <c:f>'NS beam trawl under 300kW'!$I$167:$K$167</c:f>
              <c:numCache>
                <c:formatCode>0%</c:formatCode>
                <c:ptCount val="3"/>
                <c:pt idx="0">
                  <c:v>0</c:v>
                </c:pt>
                <c:pt idx="1">
                  <c:v>0</c:v>
                </c:pt>
                <c:pt idx="2">
                  <c:v>0</c:v>
                </c:pt>
              </c:numCache>
            </c:numRef>
          </c:val>
          <c:extLst>
            <c:ext xmlns:c16="http://schemas.microsoft.com/office/drawing/2014/chart" uri="{C3380CC4-5D6E-409C-BE32-E72D297353CC}">
              <c16:uniqueId val="{00000005-14CA-45D1-A9BE-9FEC231E8E05}"/>
            </c:ext>
          </c:extLst>
        </c:ser>
        <c:ser>
          <c:idx val="6"/>
          <c:order val="6"/>
          <c:tx>
            <c:strRef>
              <c:f>'NS beam trawl under 300kW'!$H$168</c:f>
              <c:strCache>
                <c:ptCount val="1"/>
                <c:pt idx="0">
                  <c:v>Green Crab</c:v>
                </c:pt>
              </c:strCache>
            </c:strRef>
          </c:tx>
          <c:spPr>
            <a:solidFill>
              <a:srgbClr val="707271"/>
            </a:solidFill>
            <a:ln>
              <a:solidFill>
                <a:srgbClr val="FFFFFF"/>
              </a:solidFill>
            </a:ln>
          </c:spPr>
          <c:invertIfNegative val="0"/>
          <c:cat>
            <c:strRef>
              <c:f>'NS beam trawl under 300kW'!$I$161:$K$161</c:f>
              <c:strCache>
                <c:ptCount val="3"/>
                <c:pt idx="0">
                  <c:v>Most
profitable
quartile</c:v>
                </c:pt>
                <c:pt idx="1">
                  <c:v>Middle 
two quartiles</c:v>
                </c:pt>
                <c:pt idx="2">
                  <c:v>Least
profitable
quartile</c:v>
                </c:pt>
              </c:strCache>
            </c:strRef>
          </c:cat>
          <c:val>
            <c:numRef>
              <c:f>'NS beam trawl under 300kW'!$I$168:$K$168</c:f>
              <c:numCache>
                <c:formatCode>0%</c:formatCode>
                <c:ptCount val="3"/>
                <c:pt idx="0">
                  <c:v>0</c:v>
                </c:pt>
                <c:pt idx="1">
                  <c:v>0</c:v>
                </c:pt>
                <c:pt idx="2">
                  <c:v>0</c:v>
                </c:pt>
              </c:numCache>
            </c:numRef>
          </c:val>
          <c:extLst>
            <c:ext xmlns:c16="http://schemas.microsoft.com/office/drawing/2014/chart" uri="{C3380CC4-5D6E-409C-BE32-E72D297353CC}">
              <c16:uniqueId val="{00000006-14CA-45D1-A9BE-9FEC231E8E05}"/>
            </c:ext>
          </c:extLst>
        </c:ser>
        <c:ser>
          <c:idx val="7"/>
          <c:order val="7"/>
          <c:tx>
            <c:strRef>
              <c:f>'NS beam trawl under 300kW'!$H$169</c:f>
              <c:strCache>
                <c:ptCount val="1"/>
                <c:pt idx="0">
                  <c:v>Others</c:v>
                </c:pt>
              </c:strCache>
            </c:strRef>
          </c:tx>
          <c:spPr>
            <a:solidFill>
              <a:srgbClr val="55585A"/>
            </a:solidFill>
            <a:ln>
              <a:solidFill>
                <a:srgbClr val="FFFFFF"/>
              </a:solidFill>
            </a:ln>
          </c:spPr>
          <c:invertIfNegative val="0"/>
          <c:cat>
            <c:strRef>
              <c:f>'NS beam trawl under 300kW'!$I$161:$K$161</c:f>
              <c:strCache>
                <c:ptCount val="3"/>
                <c:pt idx="0">
                  <c:v>Most
profitable
quartile</c:v>
                </c:pt>
                <c:pt idx="1">
                  <c:v>Middle 
two quartiles</c:v>
                </c:pt>
                <c:pt idx="2">
                  <c:v>Least
profitable
quartile</c:v>
                </c:pt>
              </c:strCache>
            </c:strRef>
          </c:cat>
          <c:val>
            <c:numRef>
              <c:f>'NS beam trawl under 300kW'!$I$169:$K$169</c:f>
              <c:numCache>
                <c:formatCode>0%</c:formatCode>
                <c:ptCount val="3"/>
                <c:pt idx="0">
                  <c:v>0</c:v>
                </c:pt>
                <c:pt idx="1">
                  <c:v>8.5725001658265576E-5</c:v>
                </c:pt>
                <c:pt idx="2">
                  <c:v>0</c:v>
                </c:pt>
              </c:numCache>
            </c:numRef>
          </c:val>
          <c:extLst>
            <c:ext xmlns:c16="http://schemas.microsoft.com/office/drawing/2014/chart" uri="{C3380CC4-5D6E-409C-BE32-E72D297353CC}">
              <c16:uniqueId val="{00000007-14CA-45D1-A9BE-9FEC231E8E05}"/>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 beam trawl under 300kW'!$K$139</c:f>
              <c:strCache>
                <c:ptCount val="1"/>
                <c:pt idx="0">
                  <c:v>Total income</c:v>
                </c:pt>
              </c:strCache>
            </c:strRef>
          </c:tx>
          <c:spPr>
            <a:solidFill>
              <a:srgbClr val="087CBB"/>
            </a:solidFill>
            <a:ln>
              <a:solidFill>
                <a:schemeClr val="accent1"/>
              </a:solidFill>
            </a:ln>
          </c:spPr>
          <c:invertIfNegative val="0"/>
          <c:cat>
            <c:strRef>
              <c:f>'NS beam trawl under 300kW'!$L$138:$N$138</c:f>
              <c:strCache>
                <c:ptCount val="3"/>
                <c:pt idx="0">
                  <c:v>Most
profitable
quartile</c:v>
                </c:pt>
                <c:pt idx="1">
                  <c:v>Middle
two quartiles</c:v>
                </c:pt>
                <c:pt idx="2">
                  <c:v>Least
profitable
quartile</c:v>
                </c:pt>
              </c:strCache>
            </c:strRef>
          </c:cat>
          <c:val>
            <c:numRef>
              <c:f>'NS beam trawl under 300kW'!$L$139:$N$139</c:f>
              <c:numCache>
                <c:formatCode>#,##0</c:formatCode>
                <c:ptCount val="3"/>
                <c:pt idx="0">
                  <c:v>0</c:v>
                </c:pt>
                <c:pt idx="1">
                  <c:v>48.265390625000002</c:v>
                </c:pt>
                <c:pt idx="2">
                  <c:v>0</c:v>
                </c:pt>
              </c:numCache>
            </c:numRef>
          </c:val>
          <c:extLst>
            <c:ext xmlns:c16="http://schemas.microsoft.com/office/drawing/2014/chart" uri="{C3380CC4-5D6E-409C-BE32-E72D297353CC}">
              <c16:uniqueId val="{00000000-7F6F-4A77-9726-09C8D8F0180A}"/>
            </c:ext>
          </c:extLst>
        </c:ser>
        <c:ser>
          <c:idx val="1"/>
          <c:order val="1"/>
          <c:tx>
            <c:strRef>
              <c:f>'NS beam trawl under 300kW'!$K$140</c:f>
              <c:strCache>
                <c:ptCount val="1"/>
                <c:pt idx="0">
                  <c:v>Operating costs</c:v>
                </c:pt>
              </c:strCache>
            </c:strRef>
          </c:tx>
          <c:spPr>
            <a:solidFill>
              <a:srgbClr val="E87308"/>
            </a:solidFill>
          </c:spPr>
          <c:invertIfNegative val="0"/>
          <c:cat>
            <c:strRef>
              <c:f>'NS beam trawl under 300kW'!$L$138:$N$138</c:f>
              <c:strCache>
                <c:ptCount val="3"/>
                <c:pt idx="0">
                  <c:v>Most
profitable
quartile</c:v>
                </c:pt>
                <c:pt idx="1">
                  <c:v>Middle
two quartiles</c:v>
                </c:pt>
                <c:pt idx="2">
                  <c:v>Least
profitable
quartile</c:v>
                </c:pt>
              </c:strCache>
            </c:strRef>
          </c:cat>
          <c:val>
            <c:numRef>
              <c:f>'NS beam trawl under 300kW'!$L$140:$N$140</c:f>
              <c:numCache>
                <c:formatCode>#,##0</c:formatCode>
                <c:ptCount val="3"/>
                <c:pt idx="0">
                  <c:v>0</c:v>
                </c:pt>
                <c:pt idx="1">
                  <c:v>84.405509765624998</c:v>
                </c:pt>
                <c:pt idx="2">
                  <c:v>0</c:v>
                </c:pt>
              </c:numCache>
            </c:numRef>
          </c:val>
          <c:extLst>
            <c:ext xmlns:c16="http://schemas.microsoft.com/office/drawing/2014/chart" uri="{C3380CC4-5D6E-409C-BE32-E72D297353CC}">
              <c16:uniqueId val="{00000001-7F6F-4A77-9726-09C8D8F0180A}"/>
            </c:ext>
          </c:extLst>
        </c:ser>
        <c:ser>
          <c:idx val="2"/>
          <c:order val="2"/>
          <c:tx>
            <c:strRef>
              <c:f>'NS beam trawl under 300kW'!$K$141</c:f>
              <c:strCache>
                <c:ptCount val="1"/>
                <c:pt idx="0">
                  <c:v>Operating profit</c:v>
                </c:pt>
              </c:strCache>
            </c:strRef>
          </c:tx>
          <c:spPr>
            <a:solidFill>
              <a:srgbClr val="51AA81"/>
            </a:solidFill>
          </c:spPr>
          <c:invertIfNegative val="0"/>
          <c:cat>
            <c:strRef>
              <c:f>'NS beam trawl under 300kW'!$L$138:$N$138</c:f>
              <c:strCache>
                <c:ptCount val="3"/>
                <c:pt idx="0">
                  <c:v>Most
profitable
quartile</c:v>
                </c:pt>
                <c:pt idx="1">
                  <c:v>Middle
two quartiles</c:v>
                </c:pt>
                <c:pt idx="2">
                  <c:v>Least
profitable
quartile</c:v>
                </c:pt>
              </c:strCache>
            </c:strRef>
          </c:cat>
          <c:val>
            <c:numRef>
              <c:f>'NS beam trawl under 300kW'!$L$141:$N$141</c:f>
              <c:numCache>
                <c:formatCode>#,##0</c:formatCode>
                <c:ptCount val="3"/>
                <c:pt idx="0">
                  <c:v>0</c:v>
                </c:pt>
                <c:pt idx="1">
                  <c:v>-36.140119140625004</c:v>
                </c:pt>
                <c:pt idx="2">
                  <c:v>0</c:v>
                </c:pt>
              </c:numCache>
            </c:numRef>
          </c:val>
          <c:extLst>
            <c:ext xmlns:c16="http://schemas.microsoft.com/office/drawing/2014/chart" uri="{C3380CC4-5D6E-409C-BE32-E72D297353CC}">
              <c16:uniqueId val="{00000002-7F6F-4A77-9726-09C8D8F0180A}"/>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 beam trawl under 300kW'!$K$142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300kW'!$A$48</c:f>
          <c:strCache>
            <c:ptCount val="1"/>
            <c:pt idx="0">
              <c:v>Landings per kW day at sea (kg)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16B3-41A6-B87B-D34DFB86F175}"/>
              </c:ext>
            </c:extLst>
          </c:dPt>
          <c:dPt>
            <c:idx val="10"/>
            <c:bubble3D val="0"/>
            <c:spPr>
              <a:ln w="57150">
                <a:solidFill>
                  <a:srgbClr val="2273B9"/>
                </a:solidFill>
                <a:prstDash val="sysDot"/>
              </a:ln>
            </c:spPr>
            <c:extLst>
              <c:ext xmlns:c16="http://schemas.microsoft.com/office/drawing/2014/chart" uri="{C3380CC4-5D6E-409C-BE32-E72D297353CC}">
                <c16:uniqueId val="{00000003-16B3-41A6-B87B-D34DFB86F175}"/>
              </c:ext>
            </c:extLst>
          </c:dPt>
          <c:cat>
            <c:numRef>
              <c:f>'NS nephrops over 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 nephrops over 300kW'!$D$21:$N$21</c:f>
              <c:numCache>
                <c:formatCode>#,##0.00</c:formatCode>
                <c:ptCount val="11"/>
                <c:pt idx="0">
                  <c:v>2.6249059617897195</c:v>
                </c:pt>
                <c:pt idx="1">
                  <c:v>2.4523713397555462</c:v>
                </c:pt>
                <c:pt idx="2">
                  <c:v>2.5428563450425679</c:v>
                </c:pt>
                <c:pt idx="3">
                  <c:v>2.6160266558667833</c:v>
                </c:pt>
                <c:pt idx="4">
                  <c:v>2.7120510853008399</c:v>
                </c:pt>
                <c:pt idx="5">
                  <c:v>2.3938808048586151</c:v>
                </c:pt>
                <c:pt idx="6">
                  <c:v>2.571719803006042</c:v>
                </c:pt>
                <c:pt idx="7">
                  <c:v>3.0658547201577124</c:v>
                </c:pt>
                <c:pt idx="8">
                  <c:v>3.0337396781285189</c:v>
                </c:pt>
                <c:pt idx="9">
                  <c:v>3.2794883166935294</c:v>
                </c:pt>
                <c:pt idx="10">
                  <c:v>3.1318263902879844</c:v>
                </c:pt>
              </c:numCache>
            </c:numRef>
          </c:val>
          <c:smooth val="0"/>
          <c:extLst>
            <c:ext xmlns:c16="http://schemas.microsoft.com/office/drawing/2014/chart" uri="{C3380CC4-5D6E-409C-BE32-E72D297353CC}">
              <c16:uniqueId val="{00000004-16B3-41A6-B87B-D34DFB86F175}"/>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300kW'!$A$49</c:f>
          <c:strCache>
            <c:ptCount val="1"/>
            <c:pt idx="0">
              <c:v>Fishing income per kW day at sea (£)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40C7-486C-9407-32ECBB53B287}"/>
              </c:ext>
            </c:extLst>
          </c:dPt>
          <c:dPt>
            <c:idx val="10"/>
            <c:bubble3D val="0"/>
            <c:spPr>
              <a:ln w="57150">
                <a:solidFill>
                  <a:srgbClr val="648C2E"/>
                </a:solidFill>
                <a:prstDash val="sysDot"/>
              </a:ln>
            </c:spPr>
            <c:extLst>
              <c:ext xmlns:c16="http://schemas.microsoft.com/office/drawing/2014/chart" uri="{C3380CC4-5D6E-409C-BE32-E72D297353CC}">
                <c16:uniqueId val="{00000003-40C7-486C-9407-32ECBB53B287}"/>
              </c:ext>
            </c:extLst>
          </c:dPt>
          <c:cat>
            <c:numRef>
              <c:f>'NS nephrops over 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 nephrops over 300kW'!$D$22:$N$22</c:f>
              <c:numCache>
                <c:formatCode>#,##0.00</c:formatCode>
                <c:ptCount val="11"/>
                <c:pt idx="0">
                  <c:v>6.9446123278031697</c:v>
                </c:pt>
                <c:pt idx="1">
                  <c:v>8.64516918417368</c:v>
                </c:pt>
                <c:pt idx="2">
                  <c:v>7.9423147806084797</c:v>
                </c:pt>
                <c:pt idx="3">
                  <c:v>6.4895573599110001</c:v>
                </c:pt>
                <c:pt idx="4">
                  <c:v>7.6795214510123797</c:v>
                </c:pt>
                <c:pt idx="5">
                  <c:v>6.1272833315204096</c:v>
                </c:pt>
                <c:pt idx="6">
                  <c:v>7.5160606159265404</c:v>
                </c:pt>
                <c:pt idx="7">
                  <c:v>8.8419764263597198</c:v>
                </c:pt>
                <c:pt idx="8">
                  <c:v>7.7491650692899698</c:v>
                </c:pt>
                <c:pt idx="9">
                  <c:v>8.7006149205721908</c:v>
                </c:pt>
                <c:pt idx="10">
                  <c:v>6.0159520171642455</c:v>
                </c:pt>
              </c:numCache>
            </c:numRef>
          </c:val>
          <c:smooth val="0"/>
          <c:extLst>
            <c:ext xmlns:c16="http://schemas.microsoft.com/office/drawing/2014/chart" uri="{C3380CC4-5D6E-409C-BE32-E72D297353CC}">
              <c16:uniqueId val="{00000004-40C7-486C-9407-32ECBB53B287}"/>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300kW'!$B$62</c:f>
          <c:strCache>
            <c:ptCount val="1"/>
            <c:pt idx="0">
              <c:v>Total cost per kW day at sea (£)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9E46-4BED-BC20-C5FCF5AA66AF}"/>
              </c:ext>
            </c:extLst>
          </c:dPt>
          <c:dPt>
            <c:idx val="10"/>
            <c:bubble3D val="0"/>
            <c:spPr>
              <a:ln w="57150">
                <a:solidFill>
                  <a:srgbClr val="087CBB"/>
                </a:solidFill>
                <a:prstDash val="sysDot"/>
              </a:ln>
            </c:spPr>
            <c:extLst>
              <c:ext xmlns:c16="http://schemas.microsoft.com/office/drawing/2014/chart" uri="{C3380CC4-5D6E-409C-BE32-E72D297353CC}">
                <c16:uniqueId val="{00000003-9E46-4BED-BC20-C5FCF5AA66AF}"/>
              </c:ext>
            </c:extLst>
          </c:dPt>
          <c:cat>
            <c:numRef>
              <c:f>'NS nephrops over 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 nephrops over 300kW'!$D$23:$N$23</c:f>
              <c:numCache>
                <c:formatCode>#,##0.00</c:formatCode>
                <c:ptCount val="11"/>
                <c:pt idx="0">
                  <c:v>6.5055696710173603</c:v>
                </c:pt>
                <c:pt idx="1">
                  <c:v>7.9368539343324098</c:v>
                </c:pt>
                <c:pt idx="2">
                  <c:v>7.4687785412724299</c:v>
                </c:pt>
                <c:pt idx="3">
                  <c:v>6.2114921222817596</c:v>
                </c:pt>
                <c:pt idx="4">
                  <c:v>7.5095036710530998</c:v>
                </c:pt>
                <c:pt idx="5">
                  <c:v>5.8550287086316599</c:v>
                </c:pt>
                <c:pt idx="6">
                  <c:v>6.9346308020312</c:v>
                </c:pt>
                <c:pt idx="7">
                  <c:v>8.0048204399580296</c:v>
                </c:pt>
                <c:pt idx="8">
                  <c:v>7.9740477133112897</c:v>
                </c:pt>
                <c:pt idx="9">
                  <c:v>8.0108143289118292</c:v>
                </c:pt>
                <c:pt idx="10">
                  <c:v>6.4662979397663962</c:v>
                </c:pt>
              </c:numCache>
            </c:numRef>
          </c:val>
          <c:smooth val="0"/>
          <c:extLst>
            <c:ext xmlns:c16="http://schemas.microsoft.com/office/drawing/2014/chart" uri="{C3380CC4-5D6E-409C-BE32-E72D297353CC}">
              <c16:uniqueId val="{00000004-9E46-4BED-BC20-C5FCF5AA66AF}"/>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300kW'!$K$48</c:f>
          <c:strCache>
            <c:ptCount val="1"/>
            <c:pt idx="0">
              <c:v>Operating profit per kW day at sea (£)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875A-4D69-8E8F-6CC8760FB7C7}"/>
              </c:ext>
            </c:extLst>
          </c:dPt>
          <c:dPt>
            <c:idx val="10"/>
            <c:bubble3D val="0"/>
            <c:spPr>
              <a:ln w="57150">
                <a:solidFill>
                  <a:schemeClr val="accent3"/>
                </a:solidFill>
                <a:prstDash val="sysDot"/>
              </a:ln>
            </c:spPr>
            <c:extLst>
              <c:ext xmlns:c16="http://schemas.microsoft.com/office/drawing/2014/chart" uri="{C3380CC4-5D6E-409C-BE32-E72D297353CC}">
                <c16:uniqueId val="{00000003-875A-4D69-8E8F-6CC8760FB7C7}"/>
              </c:ext>
            </c:extLst>
          </c:dPt>
          <c:cat>
            <c:numRef>
              <c:f>'NS nephrops over 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 nephrops over 300kW'!$D$24:$N$24</c:f>
              <c:numCache>
                <c:formatCode>#,##0.00</c:formatCode>
                <c:ptCount val="11"/>
                <c:pt idx="0">
                  <c:v>0.56881035136984104</c:v>
                </c:pt>
                <c:pt idx="1">
                  <c:v>0.98858317396330597</c:v>
                </c:pt>
                <c:pt idx="2">
                  <c:v>0.84917144280825796</c:v>
                </c:pt>
                <c:pt idx="3">
                  <c:v>0.59319892486437198</c:v>
                </c:pt>
                <c:pt idx="4">
                  <c:v>0.64742177370320497</c:v>
                </c:pt>
                <c:pt idx="5">
                  <c:v>0.64800845288685505</c:v>
                </c:pt>
                <c:pt idx="6">
                  <c:v>1.0680003971486001</c:v>
                </c:pt>
                <c:pt idx="7">
                  <c:v>1.1379109888446</c:v>
                </c:pt>
                <c:pt idx="8">
                  <c:v>6.3426986381590195E-2</c:v>
                </c:pt>
                <c:pt idx="9">
                  <c:v>1.1041251550681199</c:v>
                </c:pt>
                <c:pt idx="10">
                  <c:v>5.7712921915916891E-2</c:v>
                </c:pt>
              </c:numCache>
            </c:numRef>
          </c:val>
          <c:smooth val="0"/>
          <c:extLst>
            <c:ext xmlns:c16="http://schemas.microsoft.com/office/drawing/2014/chart" uri="{C3380CC4-5D6E-409C-BE32-E72D297353CC}">
              <c16:uniqueId val="{00000004-875A-4D69-8E8F-6CC8760FB7C7}"/>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300kW'!$A$50</c:f>
          <c:strCache>
            <c:ptCount val="1"/>
            <c:pt idx="0">
              <c:v>Average price per tonne landed (£)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D56D-415C-8238-D66C6C8CD1A7}"/>
              </c:ext>
            </c:extLst>
          </c:dPt>
          <c:dPt>
            <c:idx val="10"/>
            <c:bubble3D val="0"/>
            <c:spPr>
              <a:ln w="57150">
                <a:solidFill>
                  <a:schemeClr val="accent4"/>
                </a:solidFill>
                <a:prstDash val="sysDot"/>
              </a:ln>
            </c:spPr>
            <c:extLst>
              <c:ext xmlns:c16="http://schemas.microsoft.com/office/drawing/2014/chart" uri="{C3380CC4-5D6E-409C-BE32-E72D297353CC}">
                <c16:uniqueId val="{00000003-D56D-415C-8238-D66C6C8CD1A7}"/>
              </c:ext>
            </c:extLst>
          </c:dPt>
          <c:cat>
            <c:numRef>
              <c:f>'NS nephrops over 300kW'!$D$2:$M$2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'NS nephrops over 300kW'!$D$20:$N$20</c:f>
              <c:numCache>
                <c:formatCode>#,##0</c:formatCode>
                <c:ptCount val="11"/>
                <c:pt idx="0">
                  <c:v>2646</c:v>
                </c:pt>
                <c:pt idx="1">
                  <c:v>3525</c:v>
                </c:pt>
                <c:pt idx="2">
                  <c:v>3123</c:v>
                </c:pt>
                <c:pt idx="3">
                  <c:v>2481</c:v>
                </c:pt>
                <c:pt idx="4">
                  <c:v>2832</c:v>
                </c:pt>
                <c:pt idx="5">
                  <c:v>2560</c:v>
                </c:pt>
                <c:pt idx="6">
                  <c:v>2923</c:v>
                </c:pt>
                <c:pt idx="7">
                  <c:v>2884</c:v>
                </c:pt>
                <c:pt idx="8">
                  <c:v>2554</c:v>
                </c:pt>
                <c:pt idx="9">
                  <c:v>2653</c:v>
                </c:pt>
                <c:pt idx="10">
                  <c:v>1921</c:v>
                </c:pt>
              </c:numCache>
            </c:numRef>
          </c:val>
          <c:smooth val="0"/>
          <c:extLst>
            <c:ext xmlns:c16="http://schemas.microsoft.com/office/drawing/2014/chart" uri="{C3380CC4-5D6E-409C-BE32-E72D297353CC}">
              <c16:uniqueId val="{00000004-D56D-415C-8238-D66C6C8CD1A7}"/>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o250kW'!$B$62</c:f>
          <c:strCache>
            <c:ptCount val="1"/>
            <c:pt idx="0">
              <c:v>Total cost per kW day at sea (£)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A09E-41D7-BF54-60C0D88C49D8}"/>
              </c:ext>
            </c:extLst>
          </c:dPt>
          <c:dPt>
            <c:idx val="10"/>
            <c:bubble3D val="0"/>
            <c:spPr>
              <a:ln w="57150">
                <a:solidFill>
                  <a:srgbClr val="087CBB"/>
                </a:solidFill>
                <a:prstDash val="sysDot"/>
              </a:ln>
            </c:spPr>
            <c:extLst>
              <c:ext xmlns:c16="http://schemas.microsoft.com/office/drawing/2014/chart" uri="{C3380CC4-5D6E-409C-BE32-E72D297353CC}">
                <c16:uniqueId val="{00000003-A09E-41D7-BF54-60C0D88C49D8}"/>
              </c:ext>
            </c:extLst>
          </c:dPt>
          <c:cat>
            <c:numRef>
              <c:f>'Area VIIa nephrops o250kW'!$D$2:$N$2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'Area VIIa nephrops o250kW'!$D$23:$N$23</c:f>
              <c:numCache>
                <c:formatCode>#,##0.00</c:formatCode>
                <c:ptCount val="11"/>
                <c:pt idx="0">
                  <c:v>3.8761358584982699</c:v>
                </c:pt>
                <c:pt idx="1">
                  <c:v>5.3132637643645602</c:v>
                </c:pt>
                <c:pt idx="2">
                  <c:v>4.8946026817575303</c:v>
                </c:pt>
                <c:pt idx="3">
                  <c:v>4.1832959578751696</c:v>
                </c:pt>
                <c:pt idx="4">
                  <c:v>4.3294170867056003</c:v>
                </c:pt>
                <c:pt idx="5">
                  <c:v>3.9414571493495298</c:v>
                </c:pt>
                <c:pt idx="6">
                  <c:v>4.0553048643921903</c:v>
                </c:pt>
                <c:pt idx="7">
                  <c:v>4.5541021872314804</c:v>
                </c:pt>
                <c:pt idx="8">
                  <c:v>5.0214549726503597</c:v>
                </c:pt>
                <c:pt idx="9">
                  <c:v>5.8236955765228204</c:v>
                </c:pt>
                <c:pt idx="10">
                  <c:v>5.34307680422231</c:v>
                </c:pt>
              </c:numCache>
            </c:numRef>
          </c:val>
          <c:smooth val="0"/>
          <c:extLst>
            <c:ext xmlns:c16="http://schemas.microsoft.com/office/drawing/2014/chart" uri="{C3380CC4-5D6E-409C-BE32-E72D297353CC}">
              <c16:uniqueId val="{00000004-A09E-41D7-BF54-60C0D88C49D8}"/>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300kW'!$K$62</c:f>
          <c:strCache>
            <c:ptCount val="1"/>
            <c:pt idx="0">
              <c:v>Average annual operating profit per vessel (£'000)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15A3-4764-8A72-150C580729CE}"/>
              </c:ext>
            </c:extLst>
          </c:dPt>
          <c:dPt>
            <c:idx val="10"/>
            <c:bubble3D val="0"/>
            <c:spPr>
              <a:ln w="57150">
                <a:solidFill>
                  <a:schemeClr val="accent5"/>
                </a:solidFill>
                <a:prstDash val="sysDot"/>
              </a:ln>
            </c:spPr>
            <c:extLst>
              <c:ext xmlns:c16="http://schemas.microsoft.com/office/drawing/2014/chart" uri="{C3380CC4-5D6E-409C-BE32-E72D297353CC}">
                <c16:uniqueId val="{00000003-15A3-4764-8A72-150C580729CE}"/>
              </c:ext>
            </c:extLst>
          </c:dPt>
          <c:cat>
            <c:numRef>
              <c:f>'NS nephrops over 300kW'!$D$2:$M$2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'NS nephrops over 300kW'!$D$37:$N$37</c:f>
              <c:numCache>
                <c:formatCode>#,##0.0</c:formatCode>
                <c:ptCount val="11"/>
                <c:pt idx="0">
                  <c:v>45.4</c:v>
                </c:pt>
                <c:pt idx="1">
                  <c:v>80.400000000000006</c:v>
                </c:pt>
                <c:pt idx="2">
                  <c:v>63.4</c:v>
                </c:pt>
                <c:pt idx="3">
                  <c:v>44</c:v>
                </c:pt>
                <c:pt idx="4">
                  <c:v>53.6</c:v>
                </c:pt>
                <c:pt idx="5">
                  <c:v>46.8</c:v>
                </c:pt>
                <c:pt idx="6">
                  <c:v>93</c:v>
                </c:pt>
                <c:pt idx="7">
                  <c:v>101.5</c:v>
                </c:pt>
                <c:pt idx="8">
                  <c:v>5.4</c:v>
                </c:pt>
                <c:pt idx="9">
                  <c:v>100.6</c:v>
                </c:pt>
                <c:pt idx="10">
                  <c:v>4.2</c:v>
                </c:pt>
              </c:numCache>
            </c:numRef>
          </c:val>
          <c:smooth val="0"/>
          <c:extLst>
            <c:ext xmlns:c16="http://schemas.microsoft.com/office/drawing/2014/chart" uri="{C3380CC4-5D6E-409C-BE32-E72D297353CC}">
              <c16:uniqueId val="{00000004-15A3-4764-8A72-150C580729CE}"/>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over 300kW'!$A$76</c:f>
          <c:strCache>
            <c:ptCount val="1"/>
            <c:pt idx="0">
              <c:v>Top 5 landed species by volume in 2019
North Sea nephrops over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5DE2-4D48-9A72-21F56D0D8F5D}"/>
              </c:ext>
            </c:extLst>
          </c:dPt>
          <c:dPt>
            <c:idx val="1"/>
            <c:bubble3D val="0"/>
            <c:spPr>
              <a:solidFill>
                <a:srgbClr val="648C2E"/>
              </a:solidFill>
              <a:ln>
                <a:solidFill>
                  <a:srgbClr val="FFFFFF"/>
                </a:solidFill>
              </a:ln>
            </c:spPr>
            <c:extLst>
              <c:ext xmlns:c16="http://schemas.microsoft.com/office/drawing/2014/chart" uri="{C3380CC4-5D6E-409C-BE32-E72D297353CC}">
                <c16:uniqueId val="{00000003-5DE2-4D48-9A72-21F56D0D8F5D}"/>
              </c:ext>
            </c:extLst>
          </c:dPt>
          <c:dPt>
            <c:idx val="2"/>
            <c:bubble3D val="0"/>
            <c:spPr>
              <a:solidFill>
                <a:srgbClr val="E84A38"/>
              </a:solidFill>
              <a:ln>
                <a:solidFill>
                  <a:srgbClr val="FFFFFF"/>
                </a:solidFill>
              </a:ln>
            </c:spPr>
            <c:extLst>
              <c:ext xmlns:c16="http://schemas.microsoft.com/office/drawing/2014/chart" uri="{C3380CC4-5D6E-409C-BE32-E72D297353CC}">
                <c16:uniqueId val="{00000005-5DE2-4D48-9A72-21F56D0D8F5D}"/>
              </c:ext>
            </c:extLst>
          </c:dPt>
          <c:dPt>
            <c:idx val="3"/>
            <c:bubble3D val="0"/>
            <c:spPr>
              <a:solidFill>
                <a:srgbClr val="E87308"/>
              </a:solidFill>
              <a:ln>
                <a:solidFill>
                  <a:srgbClr val="FFFFFF"/>
                </a:solidFill>
              </a:ln>
            </c:spPr>
            <c:extLst>
              <c:ext xmlns:c16="http://schemas.microsoft.com/office/drawing/2014/chart" uri="{C3380CC4-5D6E-409C-BE32-E72D297353CC}">
                <c16:uniqueId val="{00000007-5DE2-4D48-9A72-21F56D0D8F5D}"/>
              </c:ext>
            </c:extLst>
          </c:dPt>
          <c:dPt>
            <c:idx val="4"/>
            <c:bubble3D val="0"/>
            <c:spPr>
              <a:solidFill>
                <a:srgbClr val="C1D119"/>
              </a:solidFill>
              <a:ln>
                <a:solidFill>
                  <a:srgbClr val="FFFFFF"/>
                </a:solidFill>
              </a:ln>
            </c:spPr>
            <c:extLst>
              <c:ext xmlns:c16="http://schemas.microsoft.com/office/drawing/2014/chart" uri="{C3380CC4-5D6E-409C-BE32-E72D297353CC}">
                <c16:uniqueId val="{00000009-5DE2-4D48-9A72-21F56D0D8F5D}"/>
              </c:ext>
            </c:extLst>
          </c:dPt>
          <c:dPt>
            <c:idx val="5"/>
            <c:bubble3D val="0"/>
            <c:spPr>
              <a:solidFill>
                <a:srgbClr val="55585A"/>
              </a:solidFill>
              <a:ln>
                <a:solidFill>
                  <a:srgbClr val="FFFFFF"/>
                </a:solidFill>
              </a:ln>
            </c:spPr>
            <c:extLst>
              <c:ext xmlns:c16="http://schemas.microsoft.com/office/drawing/2014/chart" uri="{C3380CC4-5D6E-409C-BE32-E72D297353CC}">
                <c16:uniqueId val="{0000000B-5DE2-4D48-9A72-21F56D0D8F5D}"/>
              </c:ext>
            </c:extLst>
          </c:dPt>
          <c:cat>
            <c:strRef>
              <c:f>'NS nephrops over 300kW'!$B$77:$B$82</c:f>
              <c:strCache>
                <c:ptCount val="6"/>
                <c:pt idx="0">
                  <c:v>Nephrops - 56.9%</c:v>
                </c:pt>
                <c:pt idx="1">
                  <c:v>Haddock - 10.6%</c:v>
                </c:pt>
                <c:pt idx="2">
                  <c:v>Whiting - 7.9%</c:v>
                </c:pt>
                <c:pt idx="3">
                  <c:v>Anglerfish - 7.5%</c:v>
                </c:pt>
                <c:pt idx="4">
                  <c:v>Cod - 3.6%</c:v>
                </c:pt>
                <c:pt idx="5">
                  <c:v>Others - 13.5%</c:v>
                </c:pt>
              </c:strCache>
            </c:strRef>
          </c:cat>
          <c:val>
            <c:numRef>
              <c:f>'NS nephrops over 300kW'!$C$77:$C$82</c:f>
              <c:numCache>
                <c:formatCode>0.0%</c:formatCode>
                <c:ptCount val="6"/>
                <c:pt idx="0">
                  <c:v>0.5688245138805017</c:v>
                </c:pt>
                <c:pt idx="1">
                  <c:v>0.10619188836754838</c:v>
                </c:pt>
                <c:pt idx="2">
                  <c:v>7.911519349885264E-2</c:v>
                </c:pt>
                <c:pt idx="3">
                  <c:v>7.5227088840477976E-2</c:v>
                </c:pt>
                <c:pt idx="4">
                  <c:v>3.6132208589374888E-2</c:v>
                </c:pt>
                <c:pt idx="5">
                  <c:v>0.13450910682324435</c:v>
                </c:pt>
              </c:numCache>
            </c:numRef>
          </c:val>
          <c:extLst>
            <c:ext xmlns:c16="http://schemas.microsoft.com/office/drawing/2014/chart" uri="{C3380CC4-5D6E-409C-BE32-E72D297353CC}">
              <c16:uniqueId val="{0000000C-5DE2-4D48-9A72-21F56D0D8F5D}"/>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over 300kW'!$F$76</c:f>
          <c:strCache>
            <c:ptCount val="1"/>
            <c:pt idx="0">
              <c:v>Top 5 landed species by value in 2019
North Sea nephrops over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CF32-4E58-990E-16F255DF29AA}"/>
              </c:ext>
            </c:extLst>
          </c:dPt>
          <c:dPt>
            <c:idx val="1"/>
            <c:bubble3D val="0"/>
            <c:spPr>
              <a:solidFill>
                <a:srgbClr val="E87308"/>
              </a:solidFill>
              <a:ln>
                <a:solidFill>
                  <a:srgbClr val="FFFFFF"/>
                </a:solidFill>
              </a:ln>
            </c:spPr>
            <c:extLst>
              <c:ext xmlns:c16="http://schemas.microsoft.com/office/drawing/2014/chart" uri="{C3380CC4-5D6E-409C-BE32-E72D297353CC}">
                <c16:uniqueId val="{00000003-CF32-4E58-990E-16F255DF29AA}"/>
              </c:ext>
            </c:extLst>
          </c:dPt>
          <c:dPt>
            <c:idx val="2"/>
            <c:bubble3D val="0"/>
            <c:spPr>
              <a:solidFill>
                <a:srgbClr val="648C2E"/>
              </a:solidFill>
              <a:ln>
                <a:solidFill>
                  <a:srgbClr val="FFFFFF"/>
                </a:solidFill>
              </a:ln>
            </c:spPr>
            <c:extLst>
              <c:ext xmlns:c16="http://schemas.microsoft.com/office/drawing/2014/chart" uri="{C3380CC4-5D6E-409C-BE32-E72D297353CC}">
                <c16:uniqueId val="{00000005-CF32-4E58-990E-16F255DF29AA}"/>
              </c:ext>
            </c:extLst>
          </c:dPt>
          <c:dPt>
            <c:idx val="3"/>
            <c:bubble3D val="0"/>
            <c:spPr>
              <a:solidFill>
                <a:srgbClr val="C1D119"/>
              </a:solidFill>
              <a:ln>
                <a:solidFill>
                  <a:srgbClr val="FFFFFF"/>
                </a:solidFill>
              </a:ln>
            </c:spPr>
            <c:extLst>
              <c:ext xmlns:c16="http://schemas.microsoft.com/office/drawing/2014/chart" uri="{C3380CC4-5D6E-409C-BE32-E72D297353CC}">
                <c16:uniqueId val="{00000007-CF32-4E58-990E-16F255DF29AA}"/>
              </c:ext>
            </c:extLst>
          </c:dPt>
          <c:dPt>
            <c:idx val="4"/>
            <c:bubble3D val="0"/>
            <c:spPr>
              <a:solidFill>
                <a:srgbClr val="E84A38"/>
              </a:solidFill>
              <a:ln>
                <a:solidFill>
                  <a:srgbClr val="FFFFFF"/>
                </a:solidFill>
              </a:ln>
            </c:spPr>
            <c:extLst>
              <c:ext xmlns:c16="http://schemas.microsoft.com/office/drawing/2014/chart" uri="{C3380CC4-5D6E-409C-BE32-E72D297353CC}">
                <c16:uniqueId val="{00000009-CF32-4E58-990E-16F255DF29AA}"/>
              </c:ext>
            </c:extLst>
          </c:dPt>
          <c:dPt>
            <c:idx val="5"/>
            <c:bubble3D val="0"/>
            <c:spPr>
              <a:solidFill>
                <a:srgbClr val="55585A"/>
              </a:solidFill>
              <a:ln>
                <a:solidFill>
                  <a:srgbClr val="FFFFFF"/>
                </a:solidFill>
              </a:ln>
            </c:spPr>
            <c:extLst>
              <c:ext xmlns:c16="http://schemas.microsoft.com/office/drawing/2014/chart" uri="{C3380CC4-5D6E-409C-BE32-E72D297353CC}">
                <c16:uniqueId val="{0000000B-CF32-4E58-990E-16F255DF29AA}"/>
              </c:ext>
            </c:extLst>
          </c:dPt>
          <c:cat>
            <c:strRef>
              <c:f>'NS nephrops over 300kW'!$G$77:$G$82</c:f>
              <c:strCache>
                <c:ptCount val="6"/>
                <c:pt idx="0">
                  <c:v>Nephrops - 69.9%</c:v>
                </c:pt>
                <c:pt idx="1">
                  <c:v>Anglerfish - 9.7%</c:v>
                </c:pt>
                <c:pt idx="2">
                  <c:v>Haddock - 4.4%</c:v>
                </c:pt>
                <c:pt idx="3">
                  <c:v>Cod - 3.5%</c:v>
                </c:pt>
                <c:pt idx="4">
                  <c:v>Whiting - 3.3%</c:v>
                </c:pt>
                <c:pt idx="5">
                  <c:v>Others - 9.1%</c:v>
                </c:pt>
              </c:strCache>
            </c:strRef>
          </c:cat>
          <c:val>
            <c:numRef>
              <c:f>'NS nephrops over 300kW'!$H$77:$H$82</c:f>
              <c:numCache>
                <c:formatCode>0.0%</c:formatCode>
                <c:ptCount val="6"/>
                <c:pt idx="0">
                  <c:v>0.6991844314328246</c:v>
                </c:pt>
                <c:pt idx="1">
                  <c:v>9.6893627966415083E-2</c:v>
                </c:pt>
                <c:pt idx="2">
                  <c:v>4.4105946331040223E-2</c:v>
                </c:pt>
                <c:pt idx="3">
                  <c:v>3.5156743302033729E-2</c:v>
                </c:pt>
                <c:pt idx="4">
                  <c:v>3.3174231740170888E-2</c:v>
                </c:pt>
                <c:pt idx="5">
                  <c:v>9.1485019227515396E-2</c:v>
                </c:pt>
              </c:numCache>
            </c:numRef>
          </c:val>
          <c:extLst>
            <c:ext xmlns:c16="http://schemas.microsoft.com/office/drawing/2014/chart" uri="{C3380CC4-5D6E-409C-BE32-E72D297353CC}">
              <c16:uniqueId val="{0000000C-CF32-4E58-990E-16F255DF29AA}"/>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over 300kW'!$K$77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 nephrops over 300kW'!$C$92</c:f>
              <c:strCache>
                <c:ptCount val="1"/>
                <c:pt idx="0">
                  <c:v>Nephrops</c:v>
                </c:pt>
              </c:strCache>
            </c:strRef>
          </c:tx>
          <c:spPr>
            <a:solidFill>
              <a:srgbClr val="2273B9"/>
            </a:solidFill>
            <a:ln>
              <a:solidFill>
                <a:srgbClr val="FFFFFF"/>
              </a:solidFill>
            </a:ln>
          </c:spPr>
          <c:invertIfNegative val="0"/>
          <c:cat>
            <c:numRef>
              <c:f>'NS nephrops over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nephrops over 300kW'!$D$92:$M$92</c:f>
              <c:numCache>
                <c:formatCode>0%</c:formatCode>
                <c:ptCount val="10"/>
                <c:pt idx="0">
                  <c:v>0.75876883168311537</c:v>
                </c:pt>
                <c:pt idx="1">
                  <c:v>0.75650561904100289</c:v>
                </c:pt>
                <c:pt idx="2">
                  <c:v>0.66110998795345299</c:v>
                </c:pt>
                <c:pt idx="3">
                  <c:v>0.699040083080818</c:v>
                </c:pt>
                <c:pt idx="4">
                  <c:v>0.65963545836531601</c:v>
                </c:pt>
                <c:pt idx="5">
                  <c:v>0.64570674647899595</c:v>
                </c:pt>
                <c:pt idx="6">
                  <c:v>0.61109432221351034</c:v>
                </c:pt>
                <c:pt idx="7">
                  <c:v>0.56467476951052531</c:v>
                </c:pt>
                <c:pt idx="8">
                  <c:v>0.6991844314328246</c:v>
                </c:pt>
                <c:pt idx="9">
                  <c:v>0.61267760392082327</c:v>
                </c:pt>
              </c:numCache>
            </c:numRef>
          </c:val>
          <c:extLst>
            <c:ext xmlns:c16="http://schemas.microsoft.com/office/drawing/2014/chart" uri="{C3380CC4-5D6E-409C-BE32-E72D297353CC}">
              <c16:uniqueId val="{00000000-C243-476B-BF18-1578E86A3A30}"/>
            </c:ext>
          </c:extLst>
        </c:ser>
        <c:ser>
          <c:idx val="1"/>
          <c:order val="1"/>
          <c:tx>
            <c:strRef>
              <c:f>'NS nephrops over 300kW'!$C$93</c:f>
              <c:strCache>
                <c:ptCount val="1"/>
                <c:pt idx="0">
                  <c:v>Anglerfish</c:v>
                </c:pt>
              </c:strCache>
            </c:strRef>
          </c:tx>
          <c:spPr>
            <a:solidFill>
              <a:srgbClr val="E87308"/>
            </a:solidFill>
            <a:ln>
              <a:solidFill>
                <a:srgbClr val="FFFFFF"/>
              </a:solidFill>
            </a:ln>
          </c:spPr>
          <c:invertIfNegative val="0"/>
          <c:cat>
            <c:numRef>
              <c:f>'NS nephrops over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nephrops over 300kW'!$D$93:$M$93</c:f>
              <c:numCache>
                <c:formatCode>0%</c:formatCode>
                <c:ptCount val="10"/>
                <c:pt idx="0">
                  <c:v>6.9301102868382577E-2</c:v>
                </c:pt>
                <c:pt idx="1">
                  <c:v>6.4484585322710133E-2</c:v>
                </c:pt>
                <c:pt idx="2">
                  <c:v>9.904566943708186E-2</c:v>
                </c:pt>
                <c:pt idx="3">
                  <c:v>8.6099776886047627E-2</c:v>
                </c:pt>
                <c:pt idx="4">
                  <c:v>0.12486852779745958</c:v>
                </c:pt>
                <c:pt idx="5">
                  <c:v>0.14433265563418274</c:v>
                </c:pt>
                <c:pt idx="6">
                  <c:v>0.142959733627915</c:v>
                </c:pt>
                <c:pt idx="7">
                  <c:v>0.15272778925733752</c:v>
                </c:pt>
                <c:pt idx="8">
                  <c:v>9.6893627966415083E-2</c:v>
                </c:pt>
                <c:pt idx="9">
                  <c:v>0.13764200144428693</c:v>
                </c:pt>
              </c:numCache>
            </c:numRef>
          </c:val>
          <c:extLst>
            <c:ext xmlns:c16="http://schemas.microsoft.com/office/drawing/2014/chart" uri="{C3380CC4-5D6E-409C-BE32-E72D297353CC}">
              <c16:uniqueId val="{00000001-C243-476B-BF18-1578E86A3A30}"/>
            </c:ext>
          </c:extLst>
        </c:ser>
        <c:ser>
          <c:idx val="2"/>
          <c:order val="2"/>
          <c:tx>
            <c:strRef>
              <c:f>'NS nephrops over 300kW'!$C$94</c:f>
              <c:strCache>
                <c:ptCount val="1"/>
                <c:pt idx="0">
                  <c:v>Haddock</c:v>
                </c:pt>
              </c:strCache>
            </c:strRef>
          </c:tx>
          <c:spPr>
            <a:solidFill>
              <a:srgbClr val="648C2E"/>
            </a:solidFill>
            <a:ln>
              <a:solidFill>
                <a:srgbClr val="FFFFFF"/>
              </a:solidFill>
            </a:ln>
          </c:spPr>
          <c:invertIfNegative val="0"/>
          <c:cat>
            <c:numRef>
              <c:f>'NS nephrops over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nephrops over 300kW'!$D$94:$M$94</c:f>
              <c:numCache>
                <c:formatCode>0%</c:formatCode>
                <c:ptCount val="10"/>
                <c:pt idx="0">
                  <c:v>4.4161251157226245E-2</c:v>
                </c:pt>
                <c:pt idx="1">
                  <c:v>5.228650044143425E-2</c:v>
                </c:pt>
                <c:pt idx="2">
                  <c:v>7.4661822072936104E-2</c:v>
                </c:pt>
                <c:pt idx="3">
                  <c:v>7.7717117100067803E-2</c:v>
                </c:pt>
                <c:pt idx="4">
                  <c:v>6.116708873072333E-2</c:v>
                </c:pt>
                <c:pt idx="5">
                  <c:v>4.4973109093561982E-2</c:v>
                </c:pt>
                <c:pt idx="6">
                  <c:v>4.1548520531305123E-2</c:v>
                </c:pt>
                <c:pt idx="7">
                  <c:v>5.1729041694231086E-2</c:v>
                </c:pt>
                <c:pt idx="8">
                  <c:v>4.4105946331040223E-2</c:v>
                </c:pt>
                <c:pt idx="9">
                  <c:v>4.8506786412000895E-2</c:v>
                </c:pt>
              </c:numCache>
            </c:numRef>
          </c:val>
          <c:extLst>
            <c:ext xmlns:c16="http://schemas.microsoft.com/office/drawing/2014/chart" uri="{C3380CC4-5D6E-409C-BE32-E72D297353CC}">
              <c16:uniqueId val="{00000002-C243-476B-BF18-1578E86A3A30}"/>
            </c:ext>
          </c:extLst>
        </c:ser>
        <c:ser>
          <c:idx val="3"/>
          <c:order val="3"/>
          <c:tx>
            <c:strRef>
              <c:f>'NS nephrops over 300kW'!$C$95</c:f>
              <c:strCache>
                <c:ptCount val="1"/>
                <c:pt idx="0">
                  <c:v>Cod</c:v>
                </c:pt>
              </c:strCache>
            </c:strRef>
          </c:tx>
          <c:spPr>
            <a:solidFill>
              <a:srgbClr val="C1D119"/>
            </a:solidFill>
            <a:ln>
              <a:solidFill>
                <a:srgbClr val="FFFFFF"/>
              </a:solidFill>
            </a:ln>
          </c:spPr>
          <c:invertIfNegative val="0"/>
          <c:cat>
            <c:numRef>
              <c:f>'NS nephrops over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nephrops over 300kW'!$D$95:$M$95</c:f>
              <c:numCache>
                <c:formatCode>0%</c:formatCode>
                <c:ptCount val="10"/>
                <c:pt idx="1">
                  <c:v>1.7978609941859274E-2</c:v>
                </c:pt>
                <c:pt idx="2">
                  <c:v>2.7754665630213147E-2</c:v>
                </c:pt>
                <c:pt idx="3">
                  <c:v>2.2945797073296113E-2</c:v>
                </c:pt>
                <c:pt idx="5">
                  <c:v>3.1235589639025577E-2</c:v>
                </c:pt>
                <c:pt idx="6">
                  <c:v>4.8031906268219571E-2</c:v>
                </c:pt>
                <c:pt idx="7">
                  <c:v>4.0170552327692316E-2</c:v>
                </c:pt>
                <c:pt idx="8">
                  <c:v>3.5156743302033729E-2</c:v>
                </c:pt>
                <c:pt idx="9">
                  <c:v>3.0788406021865496E-2</c:v>
                </c:pt>
              </c:numCache>
            </c:numRef>
          </c:val>
          <c:extLst>
            <c:ext xmlns:c16="http://schemas.microsoft.com/office/drawing/2014/chart" uri="{C3380CC4-5D6E-409C-BE32-E72D297353CC}">
              <c16:uniqueId val="{00000003-C243-476B-BF18-1578E86A3A30}"/>
            </c:ext>
          </c:extLst>
        </c:ser>
        <c:ser>
          <c:idx val="4"/>
          <c:order val="4"/>
          <c:tx>
            <c:strRef>
              <c:f>'NS nephrops over 300kW'!$C$96</c:f>
              <c:strCache>
                <c:ptCount val="1"/>
                <c:pt idx="0">
                  <c:v>Whiting</c:v>
                </c:pt>
              </c:strCache>
            </c:strRef>
          </c:tx>
          <c:spPr>
            <a:solidFill>
              <a:srgbClr val="E84A38"/>
            </a:solidFill>
            <a:ln>
              <a:solidFill>
                <a:srgbClr val="FFFFFF"/>
              </a:solidFill>
            </a:ln>
          </c:spPr>
          <c:invertIfNegative val="0"/>
          <c:cat>
            <c:numRef>
              <c:f>'NS nephrops over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nephrops over 300kW'!$D$96:$M$96</c:f>
              <c:numCache>
                <c:formatCode>0%</c:formatCode>
                <c:ptCount val="10"/>
                <c:pt idx="0">
                  <c:v>3.5571041190899516E-2</c:v>
                </c:pt>
                <c:pt idx="1">
                  <c:v>3.6972651450617927E-2</c:v>
                </c:pt>
                <c:pt idx="2">
                  <c:v>4.8746238178689963E-2</c:v>
                </c:pt>
                <c:pt idx="3">
                  <c:v>4.0361269765523788E-2</c:v>
                </c:pt>
                <c:pt idx="4">
                  <c:v>3.5882168270989986E-2</c:v>
                </c:pt>
                <c:pt idx="5">
                  <c:v>3.1219764817989035E-2</c:v>
                </c:pt>
                <c:pt idx="6">
                  <c:v>3.2310001968110263E-2</c:v>
                </c:pt>
                <c:pt idx="7">
                  <c:v>3.4613688094612446E-2</c:v>
                </c:pt>
                <c:pt idx="8">
                  <c:v>3.3174231740170888E-2</c:v>
                </c:pt>
                <c:pt idx="9">
                  <c:v>4.1967074146220619E-2</c:v>
                </c:pt>
              </c:numCache>
            </c:numRef>
          </c:val>
          <c:extLst>
            <c:ext xmlns:c16="http://schemas.microsoft.com/office/drawing/2014/chart" uri="{C3380CC4-5D6E-409C-BE32-E72D297353CC}">
              <c16:uniqueId val="{00000004-C243-476B-BF18-1578E86A3A30}"/>
            </c:ext>
          </c:extLst>
        </c:ser>
        <c:ser>
          <c:idx val="5"/>
          <c:order val="5"/>
          <c:tx>
            <c:strRef>
              <c:f>'NS nephrops over 300kW'!$C$97</c:f>
              <c:strCache>
                <c:ptCount val="1"/>
                <c:pt idx="0">
                  <c:v>Squid</c:v>
                </c:pt>
              </c:strCache>
            </c:strRef>
          </c:tx>
          <c:spPr>
            <a:solidFill>
              <a:srgbClr val="0F9AA9"/>
            </a:solidFill>
            <a:ln>
              <a:solidFill>
                <a:srgbClr val="FFFFFF"/>
              </a:solidFill>
            </a:ln>
          </c:spPr>
          <c:invertIfNegative val="0"/>
          <c:cat>
            <c:numRef>
              <c:f>'NS nephrops over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nephrops over 300kW'!$D$97:$M$97</c:f>
              <c:numCache>
                <c:formatCode>0%</c:formatCode>
                <c:ptCount val="10"/>
                <c:pt idx="0">
                  <c:v>2.1003583137006222E-2</c:v>
                </c:pt>
                <c:pt idx="4">
                  <c:v>2.8653189592609936E-2</c:v>
                </c:pt>
              </c:numCache>
            </c:numRef>
          </c:val>
          <c:extLst>
            <c:ext xmlns:c16="http://schemas.microsoft.com/office/drawing/2014/chart" uri="{C3380CC4-5D6E-409C-BE32-E72D297353CC}">
              <c16:uniqueId val="{00000005-C243-476B-BF18-1578E86A3A30}"/>
            </c:ext>
          </c:extLst>
        </c:ser>
        <c:ser>
          <c:idx val="6"/>
          <c:order val="6"/>
          <c:tx>
            <c:strRef>
              <c:f>'NS nephrops over 300kW'!$C$98</c:f>
              <c:strCache>
                <c:ptCount val="1"/>
                <c:pt idx="0">
                  <c:v>Others</c:v>
                </c:pt>
              </c:strCache>
            </c:strRef>
          </c:tx>
          <c:spPr>
            <a:solidFill>
              <a:srgbClr val="55585A"/>
            </a:solidFill>
            <a:ln>
              <a:solidFill>
                <a:srgbClr val="FFFFFF"/>
              </a:solidFill>
            </a:ln>
          </c:spPr>
          <c:invertIfNegative val="0"/>
          <c:cat>
            <c:numRef>
              <c:f>'NS nephrops over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nephrops over 300kW'!$D$98:$M$98</c:f>
              <c:numCache>
                <c:formatCode>0%</c:formatCode>
                <c:ptCount val="10"/>
                <c:pt idx="0">
                  <c:v>7.1194189963370111E-2</c:v>
                </c:pt>
                <c:pt idx="1">
                  <c:v>7.1772033802375498E-2</c:v>
                </c:pt>
                <c:pt idx="2">
                  <c:v>8.8681616727625978E-2</c:v>
                </c:pt>
                <c:pt idx="3">
                  <c:v>7.383595609424666E-2</c:v>
                </c:pt>
                <c:pt idx="4">
                  <c:v>8.9793567242901107E-2</c:v>
                </c:pt>
                <c:pt idx="5">
                  <c:v>0.10253213433624467</c:v>
                </c:pt>
                <c:pt idx="6">
                  <c:v>0.1240555153909397</c:v>
                </c:pt>
                <c:pt idx="7">
                  <c:v>0.15608415911560133</c:v>
                </c:pt>
                <c:pt idx="8">
                  <c:v>9.1485019227515438E-2</c:v>
                </c:pt>
                <c:pt idx="9">
                  <c:v>0.12841812805480285</c:v>
                </c:pt>
              </c:numCache>
            </c:numRef>
          </c:val>
          <c:extLst>
            <c:ext xmlns:c16="http://schemas.microsoft.com/office/drawing/2014/chart" uri="{C3380CC4-5D6E-409C-BE32-E72D297353CC}">
              <c16:uniqueId val="{00000006-C243-476B-BF18-1578E86A3A30}"/>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 nephrops over 300kW'!$B$162</c:f>
              <c:strCache>
                <c:ptCount val="1"/>
                <c:pt idx="0">
                  <c:v>Nephrops</c:v>
                </c:pt>
              </c:strCache>
            </c:strRef>
          </c:tx>
          <c:spPr>
            <a:solidFill>
              <a:srgbClr val="2273B9"/>
            </a:solidFill>
            <a:ln>
              <a:solidFill>
                <a:srgbClr val="FFFFFF"/>
              </a:solidFill>
            </a:ln>
          </c:spPr>
          <c:invertIfNegative val="0"/>
          <c:cat>
            <c:strRef>
              <c:f>'NS nephrops over 300kW'!$C$161:$E$161</c:f>
              <c:strCache>
                <c:ptCount val="3"/>
                <c:pt idx="0">
                  <c:v>Most
profitable
quartile</c:v>
                </c:pt>
                <c:pt idx="1">
                  <c:v>Middle 
two quartiles</c:v>
                </c:pt>
                <c:pt idx="2">
                  <c:v>Least
profitable
quartile</c:v>
                </c:pt>
              </c:strCache>
            </c:strRef>
          </c:cat>
          <c:val>
            <c:numRef>
              <c:f>'NS nephrops over 300kW'!$C$162:$E$162</c:f>
              <c:numCache>
                <c:formatCode>0%</c:formatCode>
                <c:ptCount val="3"/>
                <c:pt idx="0">
                  <c:v>0.51015047131351876</c:v>
                </c:pt>
                <c:pt idx="1">
                  <c:v>0.59199518107443938</c:v>
                </c:pt>
                <c:pt idx="2">
                  <c:v>0.72599965754832763</c:v>
                </c:pt>
              </c:numCache>
            </c:numRef>
          </c:val>
          <c:extLst>
            <c:ext xmlns:c16="http://schemas.microsoft.com/office/drawing/2014/chart" uri="{C3380CC4-5D6E-409C-BE32-E72D297353CC}">
              <c16:uniqueId val="{00000000-D8FF-49AC-93A5-65DD444D925E}"/>
            </c:ext>
          </c:extLst>
        </c:ser>
        <c:ser>
          <c:idx val="1"/>
          <c:order val="1"/>
          <c:tx>
            <c:strRef>
              <c:f>'NS nephrops over 300kW'!$B$163</c:f>
              <c:strCache>
                <c:ptCount val="1"/>
                <c:pt idx="0">
                  <c:v>Haddock</c:v>
                </c:pt>
              </c:strCache>
            </c:strRef>
          </c:tx>
          <c:spPr>
            <a:solidFill>
              <a:srgbClr val="648C2E"/>
            </a:solidFill>
            <a:ln>
              <a:solidFill>
                <a:srgbClr val="FFFFFF"/>
              </a:solidFill>
            </a:ln>
          </c:spPr>
          <c:invertIfNegative val="0"/>
          <c:cat>
            <c:strRef>
              <c:f>'NS nephrops over 300kW'!$C$161:$E$161</c:f>
              <c:strCache>
                <c:ptCount val="3"/>
                <c:pt idx="0">
                  <c:v>Most
profitable
quartile</c:v>
                </c:pt>
                <c:pt idx="1">
                  <c:v>Middle 
two quartiles</c:v>
                </c:pt>
                <c:pt idx="2">
                  <c:v>Least
profitable
quartile</c:v>
                </c:pt>
              </c:strCache>
            </c:strRef>
          </c:cat>
          <c:val>
            <c:numRef>
              <c:f>'NS nephrops over 300kW'!$C$163:$E$163</c:f>
              <c:numCache>
                <c:formatCode>0%</c:formatCode>
                <c:ptCount val="3"/>
                <c:pt idx="0">
                  <c:v>0.12824948234700642</c:v>
                </c:pt>
                <c:pt idx="1">
                  <c:v>0.10859614108814852</c:v>
                </c:pt>
                <c:pt idx="2">
                  <c:v>5.9678123824817193E-2</c:v>
                </c:pt>
              </c:numCache>
            </c:numRef>
          </c:val>
          <c:extLst>
            <c:ext xmlns:c16="http://schemas.microsoft.com/office/drawing/2014/chart" uri="{C3380CC4-5D6E-409C-BE32-E72D297353CC}">
              <c16:uniqueId val="{00000001-D8FF-49AC-93A5-65DD444D925E}"/>
            </c:ext>
          </c:extLst>
        </c:ser>
        <c:ser>
          <c:idx val="2"/>
          <c:order val="2"/>
          <c:tx>
            <c:strRef>
              <c:f>'NS nephrops over 300kW'!$B$164</c:f>
              <c:strCache>
                <c:ptCount val="1"/>
                <c:pt idx="0">
                  <c:v>Whiting</c:v>
                </c:pt>
              </c:strCache>
            </c:strRef>
          </c:tx>
          <c:spPr>
            <a:solidFill>
              <a:srgbClr val="E84A38"/>
            </a:solidFill>
            <a:ln>
              <a:solidFill>
                <a:srgbClr val="FFFFFF"/>
              </a:solidFill>
            </a:ln>
          </c:spPr>
          <c:invertIfNegative val="0"/>
          <c:cat>
            <c:strRef>
              <c:f>'NS nephrops over 300kW'!$C$161:$E$161</c:f>
              <c:strCache>
                <c:ptCount val="3"/>
                <c:pt idx="0">
                  <c:v>Most
profitable
quartile</c:v>
                </c:pt>
                <c:pt idx="1">
                  <c:v>Middle 
two quartiles</c:v>
                </c:pt>
                <c:pt idx="2">
                  <c:v>Least
profitable
quartile</c:v>
                </c:pt>
              </c:strCache>
            </c:strRef>
          </c:cat>
          <c:val>
            <c:numRef>
              <c:f>'NS nephrops over 300kW'!$C$164:$E$164</c:f>
              <c:numCache>
                <c:formatCode>0%</c:formatCode>
                <c:ptCount val="3"/>
                <c:pt idx="0">
                  <c:v>8.2163710692100586E-2</c:v>
                </c:pt>
                <c:pt idx="1">
                  <c:v>8.9622039293818734E-2</c:v>
                </c:pt>
                <c:pt idx="2">
                  <c:v>3.9397255486408107E-2</c:v>
                </c:pt>
              </c:numCache>
            </c:numRef>
          </c:val>
          <c:extLst>
            <c:ext xmlns:c16="http://schemas.microsoft.com/office/drawing/2014/chart" uri="{C3380CC4-5D6E-409C-BE32-E72D297353CC}">
              <c16:uniqueId val="{00000002-D8FF-49AC-93A5-65DD444D925E}"/>
            </c:ext>
          </c:extLst>
        </c:ser>
        <c:ser>
          <c:idx val="3"/>
          <c:order val="3"/>
          <c:tx>
            <c:strRef>
              <c:f>'NS nephrops over 300kW'!$B$165</c:f>
              <c:strCache>
                <c:ptCount val="1"/>
                <c:pt idx="0">
                  <c:v>Anglerfish</c:v>
                </c:pt>
              </c:strCache>
            </c:strRef>
          </c:tx>
          <c:spPr>
            <a:solidFill>
              <a:srgbClr val="E87308"/>
            </a:solidFill>
            <a:ln>
              <a:solidFill>
                <a:srgbClr val="FFFFFF"/>
              </a:solidFill>
            </a:ln>
          </c:spPr>
          <c:invertIfNegative val="0"/>
          <c:cat>
            <c:strRef>
              <c:f>'NS nephrops over 300kW'!$C$161:$E$161</c:f>
              <c:strCache>
                <c:ptCount val="3"/>
                <c:pt idx="0">
                  <c:v>Most
profitable
quartile</c:v>
                </c:pt>
                <c:pt idx="1">
                  <c:v>Middle 
two quartiles</c:v>
                </c:pt>
                <c:pt idx="2">
                  <c:v>Least
profitable
quartile</c:v>
                </c:pt>
              </c:strCache>
            </c:strRef>
          </c:cat>
          <c:val>
            <c:numRef>
              <c:f>'NS nephrops over 300kW'!$C$165:$E$165</c:f>
              <c:numCache>
                <c:formatCode>0%</c:formatCode>
                <c:ptCount val="3"/>
                <c:pt idx="0">
                  <c:v>8.4362150327602484E-2</c:v>
                </c:pt>
                <c:pt idx="1">
                  <c:v>7.8798244576693294E-2</c:v>
                </c:pt>
                <c:pt idx="2">
                  <c:v>5.0465523762372337E-2</c:v>
                </c:pt>
              </c:numCache>
            </c:numRef>
          </c:val>
          <c:extLst>
            <c:ext xmlns:c16="http://schemas.microsoft.com/office/drawing/2014/chart" uri="{C3380CC4-5D6E-409C-BE32-E72D297353CC}">
              <c16:uniqueId val="{00000003-D8FF-49AC-93A5-65DD444D925E}"/>
            </c:ext>
          </c:extLst>
        </c:ser>
        <c:ser>
          <c:idx val="4"/>
          <c:order val="4"/>
          <c:tx>
            <c:strRef>
              <c:f>'NS nephrops over 300kW'!$B$166</c:f>
              <c:strCache>
                <c:ptCount val="1"/>
                <c:pt idx="0">
                  <c:v>Cod</c:v>
                </c:pt>
              </c:strCache>
            </c:strRef>
          </c:tx>
          <c:spPr>
            <a:solidFill>
              <a:srgbClr val="C1D119"/>
            </a:solidFill>
            <a:ln>
              <a:solidFill>
                <a:srgbClr val="FFFFFF"/>
              </a:solidFill>
            </a:ln>
          </c:spPr>
          <c:invertIfNegative val="0"/>
          <c:cat>
            <c:strRef>
              <c:f>'NS nephrops over 300kW'!$C$161:$E$161</c:f>
              <c:strCache>
                <c:ptCount val="3"/>
                <c:pt idx="0">
                  <c:v>Most
profitable
quartile</c:v>
                </c:pt>
                <c:pt idx="1">
                  <c:v>Middle 
two quartiles</c:v>
                </c:pt>
                <c:pt idx="2">
                  <c:v>Least
profitable
quartile</c:v>
                </c:pt>
              </c:strCache>
            </c:strRef>
          </c:cat>
          <c:val>
            <c:numRef>
              <c:f>'NS nephrops over 300kW'!$C$166:$E$166</c:f>
              <c:numCache>
                <c:formatCode>0%</c:formatCode>
                <c:ptCount val="3"/>
                <c:pt idx="0">
                  <c:v>4.0144434167150592E-2</c:v>
                </c:pt>
                <c:pt idx="1">
                  <c:v>3.8897802895742906E-2</c:v>
                </c:pt>
                <c:pt idx="2">
                  <c:v>2.0459702353829556E-2</c:v>
                </c:pt>
              </c:numCache>
            </c:numRef>
          </c:val>
          <c:extLst>
            <c:ext xmlns:c16="http://schemas.microsoft.com/office/drawing/2014/chart" uri="{C3380CC4-5D6E-409C-BE32-E72D297353CC}">
              <c16:uniqueId val="{00000004-D8FF-49AC-93A5-65DD444D925E}"/>
            </c:ext>
          </c:extLst>
        </c:ser>
        <c:ser>
          <c:idx val="5"/>
          <c:order val="5"/>
          <c:tx>
            <c:strRef>
              <c:f>'NS nephrops over 300kW'!$B$167</c:f>
              <c:strCache>
                <c:ptCount val="1"/>
                <c:pt idx="0">
                  <c:v>Others</c:v>
                </c:pt>
              </c:strCache>
            </c:strRef>
          </c:tx>
          <c:spPr>
            <a:solidFill>
              <a:srgbClr val="55585A"/>
            </a:solidFill>
            <a:ln>
              <a:solidFill>
                <a:srgbClr val="FFFFFF"/>
              </a:solidFill>
            </a:ln>
          </c:spPr>
          <c:invertIfNegative val="0"/>
          <c:cat>
            <c:strRef>
              <c:f>'NS nephrops over 300kW'!$C$161:$E$161</c:f>
              <c:strCache>
                <c:ptCount val="3"/>
                <c:pt idx="0">
                  <c:v>Most
profitable
quartile</c:v>
                </c:pt>
                <c:pt idx="1">
                  <c:v>Middle 
two quartiles</c:v>
                </c:pt>
                <c:pt idx="2">
                  <c:v>Least
profitable
quartile</c:v>
                </c:pt>
              </c:strCache>
            </c:strRef>
          </c:cat>
          <c:val>
            <c:numRef>
              <c:f>'NS nephrops over 300kW'!$C$167:$E$167</c:f>
              <c:numCache>
                <c:formatCode>0%</c:formatCode>
                <c:ptCount val="3"/>
                <c:pt idx="0">
                  <c:v>0.15492975115262109</c:v>
                </c:pt>
                <c:pt idx="1">
                  <c:v>9.2090591071157135E-2</c:v>
                </c:pt>
                <c:pt idx="2">
                  <c:v>0.10399973702424514</c:v>
                </c:pt>
              </c:numCache>
            </c:numRef>
          </c:val>
          <c:extLst>
            <c:ext xmlns:c16="http://schemas.microsoft.com/office/drawing/2014/chart" uri="{C3380CC4-5D6E-409C-BE32-E72D297353CC}">
              <c16:uniqueId val="{00000005-D8FF-49AC-93A5-65DD444D925E}"/>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 nephrops over 300kW'!$H$162</c:f>
              <c:strCache>
                <c:ptCount val="1"/>
                <c:pt idx="0">
                  <c:v>Nephrops</c:v>
                </c:pt>
              </c:strCache>
            </c:strRef>
          </c:tx>
          <c:spPr>
            <a:solidFill>
              <a:srgbClr val="2273B9"/>
            </a:solidFill>
            <a:ln>
              <a:solidFill>
                <a:srgbClr val="FFFFFF"/>
              </a:solidFill>
            </a:ln>
          </c:spPr>
          <c:invertIfNegative val="0"/>
          <c:cat>
            <c:strRef>
              <c:f>'NS nephrops over 300kW'!$I$161:$K$161</c:f>
              <c:strCache>
                <c:ptCount val="3"/>
                <c:pt idx="0">
                  <c:v>Most
profitable
quartile</c:v>
                </c:pt>
                <c:pt idx="1">
                  <c:v>Middle 
two quartiles</c:v>
                </c:pt>
                <c:pt idx="2">
                  <c:v>Least
profitable
quartile</c:v>
                </c:pt>
              </c:strCache>
            </c:strRef>
          </c:cat>
          <c:val>
            <c:numRef>
              <c:f>'NS nephrops over 300kW'!$I$162:$K$162</c:f>
              <c:numCache>
                <c:formatCode>0%</c:formatCode>
                <c:ptCount val="3"/>
                <c:pt idx="0">
                  <c:v>0.64791319035323103</c:v>
                </c:pt>
                <c:pt idx="1">
                  <c:v>0.71707673095845348</c:v>
                </c:pt>
                <c:pt idx="2">
                  <c:v>0.83229897410126341</c:v>
                </c:pt>
              </c:numCache>
            </c:numRef>
          </c:val>
          <c:extLst>
            <c:ext xmlns:c16="http://schemas.microsoft.com/office/drawing/2014/chart" uri="{C3380CC4-5D6E-409C-BE32-E72D297353CC}">
              <c16:uniqueId val="{00000000-10CA-431F-98F4-C03920FCF594}"/>
            </c:ext>
          </c:extLst>
        </c:ser>
        <c:ser>
          <c:idx val="1"/>
          <c:order val="1"/>
          <c:tx>
            <c:strRef>
              <c:f>'NS nephrops over 300kW'!$H$163</c:f>
              <c:strCache>
                <c:ptCount val="1"/>
                <c:pt idx="0">
                  <c:v>Anglerfish</c:v>
                </c:pt>
              </c:strCache>
            </c:strRef>
          </c:tx>
          <c:spPr>
            <a:solidFill>
              <a:srgbClr val="E87308"/>
            </a:solidFill>
            <a:ln>
              <a:solidFill>
                <a:srgbClr val="FFFFFF"/>
              </a:solidFill>
            </a:ln>
          </c:spPr>
          <c:invertIfNegative val="0"/>
          <c:cat>
            <c:strRef>
              <c:f>'NS nephrops over 300kW'!$I$161:$K$161</c:f>
              <c:strCache>
                <c:ptCount val="3"/>
                <c:pt idx="0">
                  <c:v>Most
profitable
quartile</c:v>
                </c:pt>
                <c:pt idx="1">
                  <c:v>Middle 
two quartiles</c:v>
                </c:pt>
                <c:pt idx="2">
                  <c:v>Least
profitable
quartile</c:v>
                </c:pt>
              </c:strCache>
            </c:strRef>
          </c:cat>
          <c:val>
            <c:numRef>
              <c:f>'NS nephrops over 300kW'!$I$163:$K$163</c:f>
              <c:numCache>
                <c:formatCode>0%</c:formatCode>
                <c:ptCount val="3"/>
                <c:pt idx="0">
                  <c:v>0.11263552468316392</c:v>
                </c:pt>
                <c:pt idx="1">
                  <c:v>0.10092521335219558</c:v>
                </c:pt>
                <c:pt idx="2">
                  <c:v>5.6306400944859072E-2</c:v>
                </c:pt>
              </c:numCache>
            </c:numRef>
          </c:val>
          <c:extLst>
            <c:ext xmlns:c16="http://schemas.microsoft.com/office/drawing/2014/chart" uri="{C3380CC4-5D6E-409C-BE32-E72D297353CC}">
              <c16:uniqueId val="{00000001-10CA-431F-98F4-C03920FCF594}"/>
            </c:ext>
          </c:extLst>
        </c:ser>
        <c:ser>
          <c:idx val="2"/>
          <c:order val="2"/>
          <c:tx>
            <c:strRef>
              <c:f>'NS nephrops over 300kW'!$H$164</c:f>
              <c:strCache>
                <c:ptCount val="1"/>
                <c:pt idx="0">
                  <c:v>Haddock</c:v>
                </c:pt>
              </c:strCache>
            </c:strRef>
          </c:tx>
          <c:spPr>
            <a:solidFill>
              <a:srgbClr val="648C2E"/>
            </a:solidFill>
            <a:ln>
              <a:solidFill>
                <a:srgbClr val="FFFFFF"/>
              </a:solidFill>
            </a:ln>
          </c:spPr>
          <c:invertIfNegative val="0"/>
          <c:cat>
            <c:strRef>
              <c:f>'NS nephrops over 300kW'!$I$161:$K$161</c:f>
              <c:strCache>
                <c:ptCount val="3"/>
                <c:pt idx="0">
                  <c:v>Most
profitable
quartile</c:v>
                </c:pt>
                <c:pt idx="1">
                  <c:v>Middle 
two quartiles</c:v>
                </c:pt>
                <c:pt idx="2">
                  <c:v>Least
profitable
quartile</c:v>
                </c:pt>
              </c:strCache>
            </c:strRef>
          </c:cat>
          <c:val>
            <c:numRef>
              <c:f>'NS nephrops over 300kW'!$I$164:$K$164</c:f>
              <c:numCache>
                <c:formatCode>0%</c:formatCode>
                <c:ptCount val="3"/>
                <c:pt idx="0">
                  <c:v>5.3804373880794773E-2</c:v>
                </c:pt>
                <c:pt idx="1">
                  <c:v>4.5798557663881641E-2</c:v>
                </c:pt>
                <c:pt idx="2">
                  <c:v>2.0406068587453793E-2</c:v>
                </c:pt>
              </c:numCache>
            </c:numRef>
          </c:val>
          <c:extLst>
            <c:ext xmlns:c16="http://schemas.microsoft.com/office/drawing/2014/chart" uri="{C3380CC4-5D6E-409C-BE32-E72D297353CC}">
              <c16:uniqueId val="{00000002-10CA-431F-98F4-C03920FCF594}"/>
            </c:ext>
          </c:extLst>
        </c:ser>
        <c:ser>
          <c:idx val="3"/>
          <c:order val="3"/>
          <c:tx>
            <c:strRef>
              <c:f>'NS nephrops over 300kW'!$H$165</c:f>
              <c:strCache>
                <c:ptCount val="1"/>
                <c:pt idx="0">
                  <c:v>Whiting</c:v>
                </c:pt>
              </c:strCache>
            </c:strRef>
          </c:tx>
          <c:spPr>
            <a:solidFill>
              <a:srgbClr val="E84A38"/>
            </a:solidFill>
            <a:ln>
              <a:solidFill>
                <a:srgbClr val="FFFFFF"/>
              </a:solidFill>
            </a:ln>
          </c:spPr>
          <c:invertIfNegative val="0"/>
          <c:cat>
            <c:strRef>
              <c:f>'NS nephrops over 300kW'!$I$161:$K$161</c:f>
              <c:strCache>
                <c:ptCount val="3"/>
                <c:pt idx="0">
                  <c:v>Most
profitable
quartile</c:v>
                </c:pt>
                <c:pt idx="1">
                  <c:v>Middle 
two quartiles</c:v>
                </c:pt>
                <c:pt idx="2">
                  <c:v>Least
profitable
quartile</c:v>
                </c:pt>
              </c:strCache>
            </c:strRef>
          </c:cat>
          <c:val>
            <c:numRef>
              <c:f>'NS nephrops over 300kW'!$I$165:$K$165</c:f>
              <c:numCache>
                <c:formatCode>0%</c:formatCode>
                <c:ptCount val="3"/>
                <c:pt idx="0">
                  <c:v>3.5807809238504115E-2</c:v>
                </c:pt>
                <c:pt idx="1">
                  <c:v>3.7802002775112427E-2</c:v>
                </c:pt>
                <c:pt idx="2">
                  <c:v>1.1992555524477148E-2</c:v>
                </c:pt>
              </c:numCache>
            </c:numRef>
          </c:val>
          <c:extLst>
            <c:ext xmlns:c16="http://schemas.microsoft.com/office/drawing/2014/chart" uri="{C3380CC4-5D6E-409C-BE32-E72D297353CC}">
              <c16:uniqueId val="{00000003-10CA-431F-98F4-C03920FCF594}"/>
            </c:ext>
          </c:extLst>
        </c:ser>
        <c:ser>
          <c:idx val="4"/>
          <c:order val="4"/>
          <c:tx>
            <c:strRef>
              <c:f>'NS nephrops over 300kW'!$H$166</c:f>
              <c:strCache>
                <c:ptCount val="1"/>
                <c:pt idx="0">
                  <c:v>Cod</c:v>
                </c:pt>
              </c:strCache>
            </c:strRef>
          </c:tx>
          <c:spPr>
            <a:solidFill>
              <a:srgbClr val="C1D119"/>
            </a:solidFill>
            <a:ln>
              <a:solidFill>
                <a:srgbClr val="FFFFFF"/>
              </a:solidFill>
            </a:ln>
          </c:spPr>
          <c:invertIfNegative val="0"/>
          <c:cat>
            <c:strRef>
              <c:f>'NS nephrops over 300kW'!$I$161:$K$161</c:f>
              <c:strCache>
                <c:ptCount val="3"/>
                <c:pt idx="0">
                  <c:v>Most
profitable
quartile</c:v>
                </c:pt>
                <c:pt idx="1">
                  <c:v>Middle 
two quartiles</c:v>
                </c:pt>
                <c:pt idx="2">
                  <c:v>Least
profitable
quartile</c:v>
                </c:pt>
              </c:strCache>
            </c:strRef>
          </c:cat>
          <c:val>
            <c:numRef>
              <c:f>'NS nephrops over 300kW'!$I$166:$K$166</c:f>
              <c:numCache>
                <c:formatCode>0%</c:formatCode>
                <c:ptCount val="3"/>
                <c:pt idx="0">
                  <c:v>4.1137415446887593E-2</c:v>
                </c:pt>
                <c:pt idx="1">
                  <c:v>3.7133349458006455E-2</c:v>
                </c:pt>
                <c:pt idx="2">
                  <c:v>1.7656794432173425E-2</c:v>
                </c:pt>
              </c:numCache>
            </c:numRef>
          </c:val>
          <c:extLst>
            <c:ext xmlns:c16="http://schemas.microsoft.com/office/drawing/2014/chart" uri="{C3380CC4-5D6E-409C-BE32-E72D297353CC}">
              <c16:uniqueId val="{00000004-10CA-431F-98F4-C03920FCF594}"/>
            </c:ext>
          </c:extLst>
        </c:ser>
        <c:ser>
          <c:idx val="5"/>
          <c:order val="5"/>
          <c:tx>
            <c:strRef>
              <c:f>'NS nephrops over 300kW'!$H$167</c:f>
              <c:strCache>
                <c:ptCount val="1"/>
                <c:pt idx="0">
                  <c:v>Others</c:v>
                </c:pt>
              </c:strCache>
            </c:strRef>
          </c:tx>
          <c:spPr>
            <a:solidFill>
              <a:srgbClr val="55585A"/>
            </a:solidFill>
            <a:ln>
              <a:solidFill>
                <a:srgbClr val="FFFFFF"/>
              </a:solidFill>
            </a:ln>
          </c:spPr>
          <c:invertIfNegative val="0"/>
          <c:cat>
            <c:strRef>
              <c:f>'NS nephrops over 300kW'!$I$161:$K$161</c:f>
              <c:strCache>
                <c:ptCount val="3"/>
                <c:pt idx="0">
                  <c:v>Most
profitable
quartile</c:v>
                </c:pt>
                <c:pt idx="1">
                  <c:v>Middle 
two quartiles</c:v>
                </c:pt>
                <c:pt idx="2">
                  <c:v>Least
profitable
quartile</c:v>
                </c:pt>
              </c:strCache>
            </c:strRef>
          </c:cat>
          <c:val>
            <c:numRef>
              <c:f>'NS nephrops over 300kW'!$I$167:$K$167</c:f>
              <c:numCache>
                <c:formatCode>0%</c:formatCode>
                <c:ptCount val="3"/>
                <c:pt idx="0">
                  <c:v>0.10870168639741862</c:v>
                </c:pt>
                <c:pt idx="1">
                  <c:v>6.1264145792350289E-2</c:v>
                </c:pt>
                <c:pt idx="2">
                  <c:v>6.1339206409773195E-2</c:v>
                </c:pt>
              </c:numCache>
            </c:numRef>
          </c:val>
          <c:extLst>
            <c:ext xmlns:c16="http://schemas.microsoft.com/office/drawing/2014/chart" uri="{C3380CC4-5D6E-409C-BE32-E72D297353CC}">
              <c16:uniqueId val="{00000005-10CA-431F-98F4-C03920FCF594}"/>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 nephrops over 300kW'!$K$139</c:f>
              <c:strCache>
                <c:ptCount val="1"/>
                <c:pt idx="0">
                  <c:v>Total income</c:v>
                </c:pt>
              </c:strCache>
            </c:strRef>
          </c:tx>
          <c:spPr>
            <a:solidFill>
              <a:srgbClr val="087CBB"/>
            </a:solidFill>
            <a:ln>
              <a:solidFill>
                <a:schemeClr val="accent1"/>
              </a:solidFill>
            </a:ln>
          </c:spPr>
          <c:invertIfNegative val="0"/>
          <c:cat>
            <c:strRef>
              <c:f>'NS nephrops over 300kW'!$L$138:$N$138</c:f>
              <c:strCache>
                <c:ptCount val="3"/>
                <c:pt idx="0">
                  <c:v>Most
profitable
quartile</c:v>
                </c:pt>
                <c:pt idx="1">
                  <c:v>Middle
two quartiles</c:v>
                </c:pt>
                <c:pt idx="2">
                  <c:v>Least
profitable
quartile</c:v>
                </c:pt>
              </c:strCache>
            </c:strRef>
          </c:cat>
          <c:val>
            <c:numRef>
              <c:f>'NS nephrops over 300kW'!$L$139:$N$139</c:f>
              <c:numCache>
                <c:formatCode>#,##0</c:formatCode>
                <c:ptCount val="3"/>
                <c:pt idx="0">
                  <c:v>1001.6170625</c:v>
                </c:pt>
                <c:pt idx="1">
                  <c:v>941.88993749999997</c:v>
                </c:pt>
                <c:pt idx="2">
                  <c:v>435.68606249999999</c:v>
                </c:pt>
              </c:numCache>
            </c:numRef>
          </c:val>
          <c:extLst>
            <c:ext xmlns:c16="http://schemas.microsoft.com/office/drawing/2014/chart" uri="{C3380CC4-5D6E-409C-BE32-E72D297353CC}">
              <c16:uniqueId val="{00000000-A6D1-4384-827B-A178C855547F}"/>
            </c:ext>
          </c:extLst>
        </c:ser>
        <c:ser>
          <c:idx val="1"/>
          <c:order val="1"/>
          <c:tx>
            <c:strRef>
              <c:f>'NS nephrops over 300kW'!$K$140</c:f>
              <c:strCache>
                <c:ptCount val="1"/>
                <c:pt idx="0">
                  <c:v>Operating costs</c:v>
                </c:pt>
              </c:strCache>
            </c:strRef>
          </c:tx>
          <c:spPr>
            <a:solidFill>
              <a:srgbClr val="E87308"/>
            </a:solidFill>
          </c:spPr>
          <c:invertIfNegative val="0"/>
          <c:cat>
            <c:strRef>
              <c:f>'NS nephrops over 300kW'!$L$138:$N$138</c:f>
              <c:strCache>
                <c:ptCount val="3"/>
                <c:pt idx="0">
                  <c:v>Most
profitable
quartile</c:v>
                </c:pt>
                <c:pt idx="1">
                  <c:v>Middle
two quartiles</c:v>
                </c:pt>
                <c:pt idx="2">
                  <c:v>Least
profitable
quartile</c:v>
                </c:pt>
              </c:strCache>
            </c:strRef>
          </c:cat>
          <c:val>
            <c:numRef>
              <c:f>'NS nephrops over 300kW'!$L$140:$N$140</c:f>
              <c:numCache>
                <c:formatCode>#,##0</c:formatCode>
                <c:ptCount val="3"/>
                <c:pt idx="0">
                  <c:v>831.12262499999997</c:v>
                </c:pt>
                <c:pt idx="1">
                  <c:v>827.763375</c:v>
                </c:pt>
                <c:pt idx="2">
                  <c:v>432.13903125000002</c:v>
                </c:pt>
              </c:numCache>
            </c:numRef>
          </c:val>
          <c:extLst>
            <c:ext xmlns:c16="http://schemas.microsoft.com/office/drawing/2014/chart" uri="{C3380CC4-5D6E-409C-BE32-E72D297353CC}">
              <c16:uniqueId val="{00000001-A6D1-4384-827B-A178C855547F}"/>
            </c:ext>
          </c:extLst>
        </c:ser>
        <c:ser>
          <c:idx val="2"/>
          <c:order val="2"/>
          <c:tx>
            <c:strRef>
              <c:f>'NS nephrops over 300kW'!$K$141</c:f>
              <c:strCache>
                <c:ptCount val="1"/>
                <c:pt idx="0">
                  <c:v>Operating profit</c:v>
                </c:pt>
              </c:strCache>
            </c:strRef>
          </c:tx>
          <c:spPr>
            <a:solidFill>
              <a:srgbClr val="51AA81"/>
            </a:solidFill>
          </c:spPr>
          <c:invertIfNegative val="0"/>
          <c:cat>
            <c:strRef>
              <c:f>'NS nephrops over 300kW'!$L$138:$N$138</c:f>
              <c:strCache>
                <c:ptCount val="3"/>
                <c:pt idx="0">
                  <c:v>Most
profitable
quartile</c:v>
                </c:pt>
                <c:pt idx="1">
                  <c:v>Middle
two quartiles</c:v>
                </c:pt>
                <c:pt idx="2">
                  <c:v>Least
profitable
quartile</c:v>
                </c:pt>
              </c:strCache>
            </c:strRef>
          </c:cat>
          <c:val>
            <c:numRef>
              <c:f>'NS nephrops over 300kW'!$L$141:$N$141</c:f>
              <c:numCache>
                <c:formatCode>#,##0</c:formatCode>
                <c:ptCount val="3"/>
                <c:pt idx="0">
                  <c:v>170.4944375</c:v>
                </c:pt>
                <c:pt idx="1">
                  <c:v>114.12656250000001</c:v>
                </c:pt>
                <c:pt idx="2">
                  <c:v>3.5470312499999999</c:v>
                </c:pt>
              </c:numCache>
            </c:numRef>
          </c:val>
          <c:extLst>
            <c:ext xmlns:c16="http://schemas.microsoft.com/office/drawing/2014/chart" uri="{C3380CC4-5D6E-409C-BE32-E72D297353CC}">
              <c16:uniqueId val="{00000002-A6D1-4384-827B-A178C855547F}"/>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 nephrops over 300kW'!$K$142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300kW'!$A$48</c:f>
          <c:strCache>
            <c:ptCount val="1"/>
            <c:pt idx="0">
              <c:v>Landings per kW day at sea (kg)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D934-4CB3-A73D-909436A8084F}"/>
              </c:ext>
            </c:extLst>
          </c:dPt>
          <c:dPt>
            <c:idx val="10"/>
            <c:bubble3D val="0"/>
            <c:spPr>
              <a:ln w="57150">
                <a:solidFill>
                  <a:srgbClr val="2273B9"/>
                </a:solidFill>
                <a:prstDash val="sysDot"/>
              </a:ln>
            </c:spPr>
            <c:extLst>
              <c:ext xmlns:c16="http://schemas.microsoft.com/office/drawing/2014/chart" uri="{C3380CC4-5D6E-409C-BE32-E72D297353CC}">
                <c16:uniqueId val="{00000003-D934-4CB3-A73D-909436A8084F}"/>
              </c:ext>
            </c:extLst>
          </c:dPt>
          <c:cat>
            <c:numRef>
              <c:f>'NS nephrops under 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 nephrops under 300kW'!$D$21:$N$21</c:f>
              <c:numCache>
                <c:formatCode>#,##0.00</c:formatCode>
                <c:ptCount val="11"/>
                <c:pt idx="0">
                  <c:v>2.9599048245650899</c:v>
                </c:pt>
                <c:pt idx="1">
                  <c:v>2.9502739506136586</c:v>
                </c:pt>
                <c:pt idx="2">
                  <c:v>2.8683846365261076</c:v>
                </c:pt>
                <c:pt idx="3">
                  <c:v>2.8315494410973101</c:v>
                </c:pt>
                <c:pt idx="4">
                  <c:v>3.055330906822975</c:v>
                </c:pt>
                <c:pt idx="5">
                  <c:v>2.3536535412319641</c:v>
                </c:pt>
                <c:pt idx="6">
                  <c:v>2.8779996556265526</c:v>
                </c:pt>
                <c:pt idx="7">
                  <c:v>3.0225267443103707</c:v>
                </c:pt>
                <c:pt idx="8">
                  <c:v>2.9606245517335932</c:v>
                </c:pt>
                <c:pt idx="9">
                  <c:v>3.3926317816088818</c:v>
                </c:pt>
                <c:pt idx="10">
                  <c:v>2.463311089994173</c:v>
                </c:pt>
              </c:numCache>
            </c:numRef>
          </c:val>
          <c:smooth val="0"/>
          <c:extLst>
            <c:ext xmlns:c16="http://schemas.microsoft.com/office/drawing/2014/chart" uri="{C3380CC4-5D6E-409C-BE32-E72D297353CC}">
              <c16:uniqueId val="{00000004-D934-4CB3-A73D-909436A8084F}"/>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300kW'!$A$49</c:f>
          <c:strCache>
            <c:ptCount val="1"/>
            <c:pt idx="0">
              <c:v>Fishing income per kW day at sea (£)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97F6-4776-988C-C0A163F96F45}"/>
              </c:ext>
            </c:extLst>
          </c:dPt>
          <c:dPt>
            <c:idx val="10"/>
            <c:bubble3D val="0"/>
            <c:spPr>
              <a:ln w="57150">
                <a:solidFill>
                  <a:srgbClr val="648C2E"/>
                </a:solidFill>
                <a:prstDash val="sysDot"/>
              </a:ln>
            </c:spPr>
            <c:extLst>
              <c:ext xmlns:c16="http://schemas.microsoft.com/office/drawing/2014/chart" uri="{C3380CC4-5D6E-409C-BE32-E72D297353CC}">
                <c16:uniqueId val="{00000003-97F6-4776-988C-C0A163F96F45}"/>
              </c:ext>
            </c:extLst>
          </c:dPt>
          <c:cat>
            <c:numRef>
              <c:f>'NS nephrops under 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 nephrops under 300kW'!$D$22:$N$22</c:f>
              <c:numCache>
                <c:formatCode>#,##0.00</c:formatCode>
                <c:ptCount val="11"/>
                <c:pt idx="0">
                  <c:v>7.2670099603128699</c:v>
                </c:pt>
                <c:pt idx="1">
                  <c:v>9.6610143201246999</c:v>
                </c:pt>
                <c:pt idx="2">
                  <c:v>9.0698258310670603</c:v>
                </c:pt>
                <c:pt idx="3">
                  <c:v>7.7945936362091199</c:v>
                </c:pt>
                <c:pt idx="4">
                  <c:v>9.0580339638478993</c:v>
                </c:pt>
                <c:pt idx="5">
                  <c:v>6.9784077529261896</c:v>
                </c:pt>
                <c:pt idx="6">
                  <c:v>8.3843150750069597</c:v>
                </c:pt>
                <c:pt idx="7">
                  <c:v>8.8655922145973598</c:v>
                </c:pt>
                <c:pt idx="8">
                  <c:v>8.7701564850143807</c:v>
                </c:pt>
                <c:pt idx="9">
                  <c:v>8.7322630742999703</c:v>
                </c:pt>
                <c:pt idx="10">
                  <c:v>5.4082726902952949</c:v>
                </c:pt>
              </c:numCache>
            </c:numRef>
          </c:val>
          <c:smooth val="0"/>
          <c:extLst>
            <c:ext xmlns:c16="http://schemas.microsoft.com/office/drawing/2014/chart" uri="{C3380CC4-5D6E-409C-BE32-E72D297353CC}">
              <c16:uniqueId val="{00000004-97F6-4776-988C-C0A163F96F45}"/>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300kW'!$B$62</c:f>
          <c:strCache>
            <c:ptCount val="1"/>
            <c:pt idx="0">
              <c:v>Total cost per kW day at sea (£)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8168-40DF-AC94-E68C734C1D87}"/>
              </c:ext>
            </c:extLst>
          </c:dPt>
          <c:dPt>
            <c:idx val="10"/>
            <c:bubble3D val="0"/>
            <c:spPr>
              <a:ln w="57150">
                <a:solidFill>
                  <a:srgbClr val="087CBB"/>
                </a:solidFill>
                <a:prstDash val="sysDot"/>
              </a:ln>
            </c:spPr>
            <c:extLst>
              <c:ext xmlns:c16="http://schemas.microsoft.com/office/drawing/2014/chart" uri="{C3380CC4-5D6E-409C-BE32-E72D297353CC}">
                <c16:uniqueId val="{00000003-8168-40DF-AC94-E68C734C1D87}"/>
              </c:ext>
            </c:extLst>
          </c:dPt>
          <c:cat>
            <c:numRef>
              <c:f>'NS nephrops under 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 nephrops under 300kW'!$D$23:$N$23</c:f>
              <c:numCache>
                <c:formatCode>#,##0.00</c:formatCode>
                <c:ptCount val="11"/>
                <c:pt idx="0">
                  <c:v>7.4694350670759597</c:v>
                </c:pt>
                <c:pt idx="1">
                  <c:v>9.5772833798895398</c:v>
                </c:pt>
                <c:pt idx="2">
                  <c:v>9.0140975076319503</c:v>
                </c:pt>
                <c:pt idx="3">
                  <c:v>8.5401468372482103</c:v>
                </c:pt>
                <c:pt idx="4">
                  <c:v>8.6408566100101307</c:v>
                </c:pt>
                <c:pt idx="5">
                  <c:v>6.8633290615142899</c:v>
                </c:pt>
                <c:pt idx="6">
                  <c:v>7.5913734384981897</c:v>
                </c:pt>
                <c:pt idx="7">
                  <c:v>8.1972543683249004</c:v>
                </c:pt>
                <c:pt idx="8">
                  <c:v>8.4007055208815302</c:v>
                </c:pt>
                <c:pt idx="9">
                  <c:v>9.0994520719912</c:v>
                </c:pt>
                <c:pt idx="10">
                  <c:v>7.0918439196782845</c:v>
                </c:pt>
              </c:numCache>
            </c:numRef>
          </c:val>
          <c:smooth val="0"/>
          <c:extLst>
            <c:ext xmlns:c16="http://schemas.microsoft.com/office/drawing/2014/chart" uri="{C3380CC4-5D6E-409C-BE32-E72D297353CC}">
              <c16:uniqueId val="{00000004-8168-40DF-AC94-E68C734C1D87}"/>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o250kW'!$K$48</c:f>
          <c:strCache>
            <c:ptCount val="1"/>
            <c:pt idx="0">
              <c:v>Operating profit per kW day at sea (£)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33FB-445A-ABFF-4F20420F5519}"/>
              </c:ext>
            </c:extLst>
          </c:dPt>
          <c:dPt>
            <c:idx val="10"/>
            <c:bubble3D val="0"/>
            <c:spPr>
              <a:ln w="57150">
                <a:solidFill>
                  <a:schemeClr val="accent3"/>
                </a:solidFill>
                <a:prstDash val="sysDot"/>
              </a:ln>
            </c:spPr>
            <c:extLst>
              <c:ext xmlns:c16="http://schemas.microsoft.com/office/drawing/2014/chart" uri="{C3380CC4-5D6E-409C-BE32-E72D297353CC}">
                <c16:uniqueId val="{00000003-33FB-445A-ABFF-4F20420F5519}"/>
              </c:ext>
            </c:extLst>
          </c:dPt>
          <c:cat>
            <c:numRef>
              <c:f>'Area VIIa nephrops o250kW'!$D$2:$N$2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'Area VIIa nephrops o250kW'!$D$24:$N$24</c:f>
              <c:numCache>
                <c:formatCode>#,##0.00</c:formatCode>
                <c:ptCount val="11"/>
                <c:pt idx="0">
                  <c:v>0.64121365053246704</c:v>
                </c:pt>
                <c:pt idx="1">
                  <c:v>1.1631316575369599</c:v>
                </c:pt>
                <c:pt idx="2">
                  <c:v>1.67573544344978</c:v>
                </c:pt>
                <c:pt idx="3">
                  <c:v>1.0046154378740799</c:v>
                </c:pt>
                <c:pt idx="4">
                  <c:v>0.895678283247209</c:v>
                </c:pt>
                <c:pt idx="5">
                  <c:v>1.49797048114841</c:v>
                </c:pt>
                <c:pt idx="6">
                  <c:v>1.7562443917213799</c:v>
                </c:pt>
                <c:pt idx="7">
                  <c:v>1.5687909208547299</c:v>
                </c:pt>
                <c:pt idx="8">
                  <c:v>1.03190512683734</c:v>
                </c:pt>
                <c:pt idx="9">
                  <c:v>2.1388883705861099</c:v>
                </c:pt>
                <c:pt idx="10">
                  <c:v>1.5707458334417308</c:v>
                </c:pt>
              </c:numCache>
            </c:numRef>
          </c:val>
          <c:smooth val="0"/>
          <c:extLst>
            <c:ext xmlns:c16="http://schemas.microsoft.com/office/drawing/2014/chart" uri="{C3380CC4-5D6E-409C-BE32-E72D297353CC}">
              <c16:uniqueId val="{00000004-33FB-445A-ABFF-4F20420F5519}"/>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300kW'!$K$48</c:f>
          <c:strCache>
            <c:ptCount val="1"/>
            <c:pt idx="0">
              <c:v>Operating profit per kW day at sea (£)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ED9E-4AF6-B2C7-0FB888DE5068}"/>
              </c:ext>
            </c:extLst>
          </c:dPt>
          <c:dPt>
            <c:idx val="10"/>
            <c:bubble3D val="0"/>
            <c:spPr>
              <a:ln w="57150">
                <a:solidFill>
                  <a:schemeClr val="accent3"/>
                </a:solidFill>
                <a:prstDash val="sysDot"/>
              </a:ln>
            </c:spPr>
            <c:extLst>
              <c:ext xmlns:c16="http://schemas.microsoft.com/office/drawing/2014/chart" uri="{C3380CC4-5D6E-409C-BE32-E72D297353CC}">
                <c16:uniqueId val="{00000003-ED9E-4AF6-B2C7-0FB888DE5068}"/>
              </c:ext>
            </c:extLst>
          </c:dPt>
          <c:cat>
            <c:numRef>
              <c:f>'NS nephrops under 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 nephrops under 300kW'!$D$24:$N$24</c:f>
              <c:numCache>
                <c:formatCode>#,##0.00</c:formatCode>
                <c:ptCount val="11"/>
                <c:pt idx="0">
                  <c:v>0.16288827824051899</c:v>
                </c:pt>
                <c:pt idx="1">
                  <c:v>1.8352733621233199</c:v>
                </c:pt>
                <c:pt idx="2">
                  <c:v>1.3579254110868899</c:v>
                </c:pt>
                <c:pt idx="3">
                  <c:v>0.58487519453409398</c:v>
                </c:pt>
                <c:pt idx="4">
                  <c:v>1.0718848524811699</c:v>
                </c:pt>
                <c:pt idx="5">
                  <c:v>0.51810478183027997</c:v>
                </c:pt>
                <c:pt idx="6">
                  <c:v>1.38162407041559</c:v>
                </c:pt>
                <c:pt idx="7">
                  <c:v>1.48211288908683</c:v>
                </c:pt>
                <c:pt idx="8">
                  <c:v>0.77351870640937404</c:v>
                </c:pt>
                <c:pt idx="9">
                  <c:v>-0.16815749156831999</c:v>
                </c:pt>
                <c:pt idx="10">
                  <c:v>-1.0306973627526679</c:v>
                </c:pt>
              </c:numCache>
            </c:numRef>
          </c:val>
          <c:smooth val="0"/>
          <c:extLst>
            <c:ext xmlns:c16="http://schemas.microsoft.com/office/drawing/2014/chart" uri="{C3380CC4-5D6E-409C-BE32-E72D297353CC}">
              <c16:uniqueId val="{00000004-ED9E-4AF6-B2C7-0FB888DE5068}"/>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300kW'!$A$50</c:f>
          <c:strCache>
            <c:ptCount val="1"/>
            <c:pt idx="0">
              <c:v>Average price per tonne landed (£)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3877-46F8-A625-5630EB2E4798}"/>
              </c:ext>
            </c:extLst>
          </c:dPt>
          <c:dPt>
            <c:idx val="10"/>
            <c:bubble3D val="0"/>
            <c:spPr>
              <a:ln w="57150">
                <a:solidFill>
                  <a:schemeClr val="accent4"/>
                </a:solidFill>
                <a:prstDash val="sysDot"/>
              </a:ln>
            </c:spPr>
            <c:extLst>
              <c:ext xmlns:c16="http://schemas.microsoft.com/office/drawing/2014/chart" uri="{C3380CC4-5D6E-409C-BE32-E72D297353CC}">
                <c16:uniqueId val="{00000003-3877-46F8-A625-5630EB2E4798}"/>
              </c:ext>
            </c:extLst>
          </c:dPt>
          <c:cat>
            <c:numRef>
              <c:f>'NS nephrops under 300kW'!$D$2:$M$2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'NS nephrops under 300kW'!$D$20:$N$20</c:f>
              <c:numCache>
                <c:formatCode>#,##0</c:formatCode>
                <c:ptCount val="11"/>
                <c:pt idx="0">
                  <c:v>2455</c:v>
                </c:pt>
                <c:pt idx="1">
                  <c:v>3275</c:v>
                </c:pt>
                <c:pt idx="2">
                  <c:v>3162</c:v>
                </c:pt>
                <c:pt idx="3">
                  <c:v>2753</c:v>
                </c:pt>
                <c:pt idx="4">
                  <c:v>2965</c:v>
                </c:pt>
                <c:pt idx="5">
                  <c:v>2965</c:v>
                </c:pt>
                <c:pt idx="6">
                  <c:v>2913</c:v>
                </c:pt>
                <c:pt idx="7">
                  <c:v>2933</c:v>
                </c:pt>
                <c:pt idx="8">
                  <c:v>2962</c:v>
                </c:pt>
                <c:pt idx="9">
                  <c:v>2574</c:v>
                </c:pt>
                <c:pt idx="10">
                  <c:v>2196</c:v>
                </c:pt>
              </c:numCache>
            </c:numRef>
          </c:val>
          <c:smooth val="0"/>
          <c:extLst>
            <c:ext xmlns:c16="http://schemas.microsoft.com/office/drawing/2014/chart" uri="{C3380CC4-5D6E-409C-BE32-E72D297353CC}">
              <c16:uniqueId val="{00000004-3877-46F8-A625-5630EB2E4798}"/>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300kW'!$K$62</c:f>
          <c:strCache>
            <c:ptCount val="1"/>
            <c:pt idx="0">
              <c:v>Average annual operating profit per vessel (£'000)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D454-4781-BD40-578A5546A35B}"/>
              </c:ext>
            </c:extLst>
          </c:dPt>
          <c:dPt>
            <c:idx val="10"/>
            <c:bubble3D val="0"/>
            <c:spPr>
              <a:ln w="57150">
                <a:solidFill>
                  <a:schemeClr val="accent5"/>
                </a:solidFill>
                <a:prstDash val="sysDot"/>
              </a:ln>
            </c:spPr>
            <c:extLst>
              <c:ext xmlns:c16="http://schemas.microsoft.com/office/drawing/2014/chart" uri="{C3380CC4-5D6E-409C-BE32-E72D297353CC}">
                <c16:uniqueId val="{00000003-D454-4781-BD40-578A5546A35B}"/>
              </c:ext>
            </c:extLst>
          </c:dPt>
          <c:cat>
            <c:numRef>
              <c:f>'NS nephrops under 300kW'!$D$2:$M$2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'NS nephrops under 300kW'!$D$37:$N$37</c:f>
              <c:numCache>
                <c:formatCode>#,##0.0</c:formatCode>
                <c:ptCount val="11"/>
                <c:pt idx="0">
                  <c:v>4</c:v>
                </c:pt>
                <c:pt idx="1">
                  <c:v>48</c:v>
                </c:pt>
                <c:pt idx="2">
                  <c:v>34.200000000000003</c:v>
                </c:pt>
                <c:pt idx="3">
                  <c:v>13.1</c:v>
                </c:pt>
                <c:pt idx="4">
                  <c:v>23.7</c:v>
                </c:pt>
                <c:pt idx="5">
                  <c:v>10.5</c:v>
                </c:pt>
                <c:pt idx="6">
                  <c:v>35.6</c:v>
                </c:pt>
                <c:pt idx="7">
                  <c:v>34</c:v>
                </c:pt>
                <c:pt idx="8">
                  <c:v>17.3</c:v>
                </c:pt>
                <c:pt idx="9">
                  <c:v>-3.9</c:v>
                </c:pt>
                <c:pt idx="10">
                  <c:v>-18.900000000000002</c:v>
                </c:pt>
              </c:numCache>
            </c:numRef>
          </c:val>
          <c:smooth val="0"/>
          <c:extLst>
            <c:ext xmlns:c16="http://schemas.microsoft.com/office/drawing/2014/chart" uri="{C3380CC4-5D6E-409C-BE32-E72D297353CC}">
              <c16:uniqueId val="{00000004-D454-4781-BD40-578A5546A35B}"/>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under 300kW'!$A$76</c:f>
          <c:strCache>
            <c:ptCount val="1"/>
            <c:pt idx="0">
              <c:v>Top 5 landed species by volume in 2019
North Sea nephrops under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772A-4D8B-A1B5-9ECE67A93185}"/>
              </c:ext>
            </c:extLst>
          </c:dPt>
          <c:dPt>
            <c:idx val="1"/>
            <c:bubble3D val="0"/>
            <c:spPr>
              <a:solidFill>
                <a:srgbClr val="E84A38"/>
              </a:solidFill>
              <a:ln>
                <a:solidFill>
                  <a:srgbClr val="FFFFFF"/>
                </a:solidFill>
              </a:ln>
            </c:spPr>
            <c:extLst>
              <c:ext xmlns:c16="http://schemas.microsoft.com/office/drawing/2014/chart" uri="{C3380CC4-5D6E-409C-BE32-E72D297353CC}">
                <c16:uniqueId val="{00000003-772A-4D8B-A1B5-9ECE67A93185}"/>
              </c:ext>
            </c:extLst>
          </c:dPt>
          <c:dPt>
            <c:idx val="2"/>
            <c:bubble3D val="0"/>
            <c:spPr>
              <a:solidFill>
                <a:srgbClr val="C1D119"/>
              </a:solidFill>
              <a:ln>
                <a:solidFill>
                  <a:srgbClr val="FFFFFF"/>
                </a:solidFill>
              </a:ln>
            </c:spPr>
            <c:extLst>
              <c:ext xmlns:c16="http://schemas.microsoft.com/office/drawing/2014/chart" uri="{C3380CC4-5D6E-409C-BE32-E72D297353CC}">
                <c16:uniqueId val="{00000005-772A-4D8B-A1B5-9ECE67A93185}"/>
              </c:ext>
            </c:extLst>
          </c:dPt>
          <c:dPt>
            <c:idx val="3"/>
            <c:bubble3D val="0"/>
            <c:spPr>
              <a:solidFill>
                <a:srgbClr val="0F9AA9"/>
              </a:solidFill>
              <a:ln>
                <a:solidFill>
                  <a:srgbClr val="FFFFFF"/>
                </a:solidFill>
              </a:ln>
            </c:spPr>
            <c:extLst>
              <c:ext xmlns:c16="http://schemas.microsoft.com/office/drawing/2014/chart" uri="{C3380CC4-5D6E-409C-BE32-E72D297353CC}">
                <c16:uniqueId val="{00000007-772A-4D8B-A1B5-9ECE67A93185}"/>
              </c:ext>
            </c:extLst>
          </c:dPt>
          <c:dPt>
            <c:idx val="4"/>
            <c:bubble3D val="0"/>
            <c:spPr>
              <a:solidFill>
                <a:srgbClr val="E87308"/>
              </a:solidFill>
              <a:ln>
                <a:solidFill>
                  <a:srgbClr val="FFFFFF"/>
                </a:solidFill>
              </a:ln>
            </c:spPr>
            <c:extLst>
              <c:ext xmlns:c16="http://schemas.microsoft.com/office/drawing/2014/chart" uri="{C3380CC4-5D6E-409C-BE32-E72D297353CC}">
                <c16:uniqueId val="{00000009-772A-4D8B-A1B5-9ECE67A93185}"/>
              </c:ext>
            </c:extLst>
          </c:dPt>
          <c:dPt>
            <c:idx val="5"/>
            <c:bubble3D val="0"/>
            <c:spPr>
              <a:solidFill>
                <a:srgbClr val="55585A"/>
              </a:solidFill>
              <a:ln>
                <a:solidFill>
                  <a:srgbClr val="FFFFFF"/>
                </a:solidFill>
              </a:ln>
            </c:spPr>
            <c:extLst>
              <c:ext xmlns:c16="http://schemas.microsoft.com/office/drawing/2014/chart" uri="{C3380CC4-5D6E-409C-BE32-E72D297353CC}">
                <c16:uniqueId val="{0000000B-772A-4D8B-A1B5-9ECE67A93185}"/>
              </c:ext>
            </c:extLst>
          </c:dPt>
          <c:cat>
            <c:strRef>
              <c:f>'NS nephrops under 300kW'!$B$77:$B$82</c:f>
              <c:strCache>
                <c:ptCount val="6"/>
                <c:pt idx="0">
                  <c:v>Nephrops - 70.5%</c:v>
                </c:pt>
                <c:pt idx="1">
                  <c:v>Sprats - 14.4%</c:v>
                </c:pt>
                <c:pt idx="2">
                  <c:v>Haddock - 3.9%</c:v>
                </c:pt>
                <c:pt idx="3">
                  <c:v>Whiting - 3.6%</c:v>
                </c:pt>
                <c:pt idx="4">
                  <c:v>Squid - 1.5%</c:v>
                </c:pt>
                <c:pt idx="5">
                  <c:v>Others - 6.0%</c:v>
                </c:pt>
              </c:strCache>
            </c:strRef>
          </c:cat>
          <c:val>
            <c:numRef>
              <c:f>'NS nephrops under 300kW'!$C$77:$C$82</c:f>
              <c:numCache>
                <c:formatCode>0.0%</c:formatCode>
                <c:ptCount val="6"/>
                <c:pt idx="0">
                  <c:v>0.70519035190146284</c:v>
                </c:pt>
                <c:pt idx="1">
                  <c:v>0.14388266321119819</c:v>
                </c:pt>
                <c:pt idx="2">
                  <c:v>3.8883156204716704E-2</c:v>
                </c:pt>
                <c:pt idx="3">
                  <c:v>3.634072032695454E-2</c:v>
                </c:pt>
                <c:pt idx="4">
                  <c:v>1.5393579822635615E-2</c:v>
                </c:pt>
                <c:pt idx="5">
                  <c:v>6.0309528533032064E-2</c:v>
                </c:pt>
              </c:numCache>
            </c:numRef>
          </c:val>
          <c:extLst>
            <c:ext xmlns:c16="http://schemas.microsoft.com/office/drawing/2014/chart" uri="{C3380CC4-5D6E-409C-BE32-E72D297353CC}">
              <c16:uniqueId val="{0000000C-772A-4D8B-A1B5-9ECE67A93185}"/>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under 300kW'!$F$76</c:f>
          <c:strCache>
            <c:ptCount val="1"/>
            <c:pt idx="0">
              <c:v>Top 5 landed species by value in 2019
North Sea nephrops under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D14E-4AA5-88EA-4E4F33C9CD2F}"/>
              </c:ext>
            </c:extLst>
          </c:dPt>
          <c:dPt>
            <c:idx val="1"/>
            <c:bubble3D val="0"/>
            <c:spPr>
              <a:solidFill>
                <a:srgbClr val="E87308"/>
              </a:solidFill>
              <a:ln>
                <a:solidFill>
                  <a:srgbClr val="FFFFFF"/>
                </a:solidFill>
              </a:ln>
            </c:spPr>
            <c:extLst>
              <c:ext xmlns:c16="http://schemas.microsoft.com/office/drawing/2014/chart" uri="{C3380CC4-5D6E-409C-BE32-E72D297353CC}">
                <c16:uniqueId val="{00000003-D14E-4AA5-88EA-4E4F33C9CD2F}"/>
              </c:ext>
            </c:extLst>
          </c:dPt>
          <c:dPt>
            <c:idx val="2"/>
            <c:bubble3D val="0"/>
            <c:spPr>
              <a:solidFill>
                <a:srgbClr val="648C2E"/>
              </a:solidFill>
              <a:ln>
                <a:solidFill>
                  <a:srgbClr val="FFFFFF"/>
                </a:solidFill>
              </a:ln>
            </c:spPr>
            <c:extLst>
              <c:ext xmlns:c16="http://schemas.microsoft.com/office/drawing/2014/chart" uri="{C3380CC4-5D6E-409C-BE32-E72D297353CC}">
                <c16:uniqueId val="{00000005-D14E-4AA5-88EA-4E4F33C9CD2F}"/>
              </c:ext>
            </c:extLst>
          </c:dPt>
          <c:dPt>
            <c:idx val="3"/>
            <c:bubble3D val="0"/>
            <c:spPr>
              <a:solidFill>
                <a:srgbClr val="C1D119"/>
              </a:solidFill>
              <a:ln>
                <a:solidFill>
                  <a:srgbClr val="FFFFFF"/>
                </a:solidFill>
              </a:ln>
            </c:spPr>
            <c:extLst>
              <c:ext xmlns:c16="http://schemas.microsoft.com/office/drawing/2014/chart" uri="{C3380CC4-5D6E-409C-BE32-E72D297353CC}">
                <c16:uniqueId val="{00000007-D14E-4AA5-88EA-4E4F33C9CD2F}"/>
              </c:ext>
            </c:extLst>
          </c:dPt>
          <c:dPt>
            <c:idx val="4"/>
            <c:bubble3D val="0"/>
            <c:spPr>
              <a:solidFill>
                <a:srgbClr val="E84A38"/>
              </a:solidFill>
              <a:ln>
                <a:solidFill>
                  <a:srgbClr val="FFFFFF"/>
                </a:solidFill>
              </a:ln>
            </c:spPr>
            <c:extLst>
              <c:ext xmlns:c16="http://schemas.microsoft.com/office/drawing/2014/chart" uri="{C3380CC4-5D6E-409C-BE32-E72D297353CC}">
                <c16:uniqueId val="{00000009-D14E-4AA5-88EA-4E4F33C9CD2F}"/>
              </c:ext>
            </c:extLst>
          </c:dPt>
          <c:dPt>
            <c:idx val="5"/>
            <c:bubble3D val="0"/>
            <c:spPr>
              <a:solidFill>
                <a:srgbClr val="55585A"/>
              </a:solidFill>
              <a:ln>
                <a:solidFill>
                  <a:srgbClr val="FFFFFF"/>
                </a:solidFill>
              </a:ln>
            </c:spPr>
            <c:extLst>
              <c:ext xmlns:c16="http://schemas.microsoft.com/office/drawing/2014/chart" uri="{C3380CC4-5D6E-409C-BE32-E72D297353CC}">
                <c16:uniqueId val="{0000000B-D14E-4AA5-88EA-4E4F33C9CD2F}"/>
              </c:ext>
            </c:extLst>
          </c:dPt>
          <c:cat>
            <c:strRef>
              <c:f>'NS nephrops under 300kW'!$G$77:$G$82</c:f>
              <c:strCache>
                <c:ptCount val="6"/>
                <c:pt idx="0">
                  <c:v>Nephrops - 87.2%</c:v>
                </c:pt>
                <c:pt idx="1">
                  <c:v>Squid - 1.9%</c:v>
                </c:pt>
                <c:pt idx="2">
                  <c:v>Anglerfish - 1.7%</c:v>
                </c:pt>
                <c:pt idx="3">
                  <c:v>Haddock - 1.6%</c:v>
                </c:pt>
                <c:pt idx="4">
                  <c:v>Sprats - 1.6%</c:v>
                </c:pt>
                <c:pt idx="5">
                  <c:v>Others - 5.9%</c:v>
                </c:pt>
              </c:strCache>
            </c:strRef>
          </c:cat>
          <c:val>
            <c:numRef>
              <c:f>'NS nephrops under 300kW'!$H$77:$H$82</c:f>
              <c:numCache>
                <c:formatCode>0.0%</c:formatCode>
                <c:ptCount val="6"/>
                <c:pt idx="0">
                  <c:v>0.87244954441968259</c:v>
                </c:pt>
                <c:pt idx="1">
                  <c:v>1.8830774705144313E-2</c:v>
                </c:pt>
                <c:pt idx="2">
                  <c:v>1.7368997093559622E-2</c:v>
                </c:pt>
                <c:pt idx="3">
                  <c:v>1.6403995011800645E-2</c:v>
                </c:pt>
                <c:pt idx="4">
                  <c:v>1.6284810299211739E-2</c:v>
                </c:pt>
                <c:pt idx="5">
                  <c:v>5.8661878470601114E-2</c:v>
                </c:pt>
              </c:numCache>
            </c:numRef>
          </c:val>
          <c:extLst>
            <c:ext xmlns:c16="http://schemas.microsoft.com/office/drawing/2014/chart" uri="{C3380CC4-5D6E-409C-BE32-E72D297353CC}">
              <c16:uniqueId val="{0000000C-D14E-4AA5-88EA-4E4F33C9CD2F}"/>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under 300kW'!$K$77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 nephrops under 300kW'!$C$92</c:f>
              <c:strCache>
                <c:ptCount val="1"/>
                <c:pt idx="0">
                  <c:v>Nephrops</c:v>
                </c:pt>
              </c:strCache>
            </c:strRef>
          </c:tx>
          <c:spPr>
            <a:solidFill>
              <a:srgbClr val="2273B9"/>
            </a:solidFill>
            <a:ln>
              <a:solidFill>
                <a:srgbClr val="FFFFFF"/>
              </a:solidFill>
            </a:ln>
          </c:spPr>
          <c:invertIfNegative val="0"/>
          <c:cat>
            <c:numRef>
              <c:f>'NS nephrops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nephrops under 300kW'!$D$92:$M$92</c:f>
              <c:numCache>
                <c:formatCode>0%</c:formatCode>
                <c:ptCount val="10"/>
                <c:pt idx="0">
                  <c:v>0.84384876415724119</c:v>
                </c:pt>
                <c:pt idx="1">
                  <c:v>0.87436892125458099</c:v>
                </c:pt>
                <c:pt idx="2">
                  <c:v>0.86746253934379847</c:v>
                </c:pt>
                <c:pt idx="3">
                  <c:v>0.84242194081927868</c:v>
                </c:pt>
                <c:pt idx="4">
                  <c:v>0.87395733269264164</c:v>
                </c:pt>
                <c:pt idx="5">
                  <c:v>0.81288988720656163</c:v>
                </c:pt>
                <c:pt idx="6">
                  <c:v>0.80573828944318304</c:v>
                </c:pt>
                <c:pt idx="7">
                  <c:v>0.84907205540570596</c:v>
                </c:pt>
                <c:pt idx="8">
                  <c:v>0.87244954441968259</c:v>
                </c:pt>
                <c:pt idx="9">
                  <c:v>0.85197915266666724</c:v>
                </c:pt>
              </c:numCache>
            </c:numRef>
          </c:val>
          <c:extLst>
            <c:ext xmlns:c16="http://schemas.microsoft.com/office/drawing/2014/chart" uri="{C3380CC4-5D6E-409C-BE32-E72D297353CC}">
              <c16:uniqueId val="{00000000-21A6-4A37-81AE-FC154A37EF3F}"/>
            </c:ext>
          </c:extLst>
        </c:ser>
        <c:ser>
          <c:idx val="1"/>
          <c:order val="1"/>
          <c:tx>
            <c:strRef>
              <c:f>'NS nephrops under 300kW'!$C$93</c:f>
              <c:strCache>
                <c:ptCount val="1"/>
                <c:pt idx="0">
                  <c:v>Squid</c:v>
                </c:pt>
              </c:strCache>
            </c:strRef>
          </c:tx>
          <c:spPr>
            <a:solidFill>
              <a:srgbClr val="E87308"/>
            </a:solidFill>
            <a:ln>
              <a:solidFill>
                <a:srgbClr val="FFFFFF"/>
              </a:solidFill>
            </a:ln>
          </c:spPr>
          <c:invertIfNegative val="0"/>
          <c:cat>
            <c:numRef>
              <c:f>'NS nephrops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nephrops under 300kW'!$D$93:$M$93</c:f>
              <c:numCache>
                <c:formatCode>0%</c:formatCode>
                <c:ptCount val="10"/>
                <c:pt idx="0">
                  <c:v>2.1161621932543555E-2</c:v>
                </c:pt>
                <c:pt idx="1">
                  <c:v>1.4565380742687284E-2</c:v>
                </c:pt>
                <c:pt idx="2">
                  <c:v>1.6965028622457728E-2</c:v>
                </c:pt>
                <c:pt idx="3">
                  <c:v>2.4365318977610517E-2</c:v>
                </c:pt>
                <c:pt idx="4">
                  <c:v>1.8420947575077187E-2</c:v>
                </c:pt>
                <c:pt idx="5">
                  <c:v>4.4875522437971153E-2</c:v>
                </c:pt>
                <c:pt idx="6">
                  <c:v>2.5445165431348768E-2</c:v>
                </c:pt>
                <c:pt idx="7">
                  <c:v>2.4877213574446874E-2</c:v>
                </c:pt>
                <c:pt idx="8">
                  <c:v>1.8830774705144313E-2</c:v>
                </c:pt>
                <c:pt idx="9">
                  <c:v>2.3835276157410958E-2</c:v>
                </c:pt>
              </c:numCache>
            </c:numRef>
          </c:val>
          <c:extLst>
            <c:ext xmlns:c16="http://schemas.microsoft.com/office/drawing/2014/chart" uri="{C3380CC4-5D6E-409C-BE32-E72D297353CC}">
              <c16:uniqueId val="{00000001-21A6-4A37-81AE-FC154A37EF3F}"/>
            </c:ext>
          </c:extLst>
        </c:ser>
        <c:ser>
          <c:idx val="2"/>
          <c:order val="2"/>
          <c:tx>
            <c:strRef>
              <c:f>'NS nephrops under 300kW'!$C$94</c:f>
              <c:strCache>
                <c:ptCount val="1"/>
                <c:pt idx="0">
                  <c:v>Anglerfish</c:v>
                </c:pt>
              </c:strCache>
            </c:strRef>
          </c:tx>
          <c:spPr>
            <a:solidFill>
              <a:srgbClr val="648C2E"/>
            </a:solidFill>
            <a:ln>
              <a:solidFill>
                <a:srgbClr val="FFFFFF"/>
              </a:solidFill>
            </a:ln>
          </c:spPr>
          <c:invertIfNegative val="0"/>
          <c:cat>
            <c:numRef>
              <c:f>'NS nephrops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nephrops under 300kW'!$D$94:$M$94</c:f>
              <c:numCache>
                <c:formatCode>0%</c:formatCode>
                <c:ptCount val="10"/>
                <c:pt idx="0">
                  <c:v>2.7526125081215221E-2</c:v>
                </c:pt>
                <c:pt idx="1">
                  <c:v>1.8643631403942436E-2</c:v>
                </c:pt>
                <c:pt idx="2">
                  <c:v>1.9045899694926212E-2</c:v>
                </c:pt>
                <c:pt idx="3">
                  <c:v>2.3814822468433239E-2</c:v>
                </c:pt>
                <c:pt idx="4">
                  <c:v>3.2214785011503863E-2</c:v>
                </c:pt>
                <c:pt idx="5">
                  <c:v>3.7520450482049147E-2</c:v>
                </c:pt>
                <c:pt idx="6">
                  <c:v>2.9055101222549142E-2</c:v>
                </c:pt>
                <c:pt idx="7">
                  <c:v>2.4434976943989287E-2</c:v>
                </c:pt>
                <c:pt idx="8">
                  <c:v>1.7368997093559622E-2</c:v>
                </c:pt>
                <c:pt idx="9">
                  <c:v>3.7819485623861018E-2</c:v>
                </c:pt>
              </c:numCache>
            </c:numRef>
          </c:val>
          <c:extLst>
            <c:ext xmlns:c16="http://schemas.microsoft.com/office/drawing/2014/chart" uri="{C3380CC4-5D6E-409C-BE32-E72D297353CC}">
              <c16:uniqueId val="{00000002-21A6-4A37-81AE-FC154A37EF3F}"/>
            </c:ext>
          </c:extLst>
        </c:ser>
        <c:ser>
          <c:idx val="3"/>
          <c:order val="3"/>
          <c:tx>
            <c:strRef>
              <c:f>'NS nephrops under 300kW'!$C$95</c:f>
              <c:strCache>
                <c:ptCount val="1"/>
                <c:pt idx="0">
                  <c:v>Haddock</c:v>
                </c:pt>
              </c:strCache>
            </c:strRef>
          </c:tx>
          <c:spPr>
            <a:solidFill>
              <a:srgbClr val="C1D119"/>
            </a:solidFill>
            <a:ln>
              <a:solidFill>
                <a:srgbClr val="FFFFFF"/>
              </a:solidFill>
            </a:ln>
          </c:spPr>
          <c:invertIfNegative val="0"/>
          <c:cat>
            <c:numRef>
              <c:f>'NS nephrops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nephrops under 300kW'!$D$95:$M$95</c:f>
              <c:numCache>
                <c:formatCode>0%</c:formatCode>
                <c:ptCount val="10"/>
                <c:pt idx="0">
                  <c:v>2.8679695269265858E-2</c:v>
                </c:pt>
                <c:pt idx="1">
                  <c:v>2.5370738124818683E-2</c:v>
                </c:pt>
                <c:pt idx="2">
                  <c:v>2.3075835593973661E-2</c:v>
                </c:pt>
                <c:pt idx="3">
                  <c:v>4.4402761661023596E-2</c:v>
                </c:pt>
                <c:pt idx="4">
                  <c:v>1.1199211404180936E-2</c:v>
                </c:pt>
                <c:pt idx="5">
                  <c:v>3.0224933323922613E-2</c:v>
                </c:pt>
                <c:pt idx="6">
                  <c:v>2.8458059575261315E-2</c:v>
                </c:pt>
                <c:pt idx="7">
                  <c:v>2.453333940729438E-2</c:v>
                </c:pt>
                <c:pt idx="8">
                  <c:v>1.6403995011800645E-2</c:v>
                </c:pt>
                <c:pt idx="9">
                  <c:v>2.1372866531635264E-2</c:v>
                </c:pt>
              </c:numCache>
            </c:numRef>
          </c:val>
          <c:extLst>
            <c:ext xmlns:c16="http://schemas.microsoft.com/office/drawing/2014/chart" uri="{C3380CC4-5D6E-409C-BE32-E72D297353CC}">
              <c16:uniqueId val="{00000003-21A6-4A37-81AE-FC154A37EF3F}"/>
            </c:ext>
          </c:extLst>
        </c:ser>
        <c:ser>
          <c:idx val="4"/>
          <c:order val="4"/>
          <c:tx>
            <c:strRef>
              <c:f>'NS nephrops under 300kW'!$C$96</c:f>
              <c:strCache>
                <c:ptCount val="1"/>
                <c:pt idx="0">
                  <c:v>Sprats</c:v>
                </c:pt>
              </c:strCache>
            </c:strRef>
          </c:tx>
          <c:spPr>
            <a:solidFill>
              <a:srgbClr val="E84A38"/>
            </a:solidFill>
            <a:ln>
              <a:solidFill>
                <a:srgbClr val="FFFFFF"/>
              </a:solidFill>
            </a:ln>
          </c:spPr>
          <c:invertIfNegative val="0"/>
          <c:cat>
            <c:numRef>
              <c:f>'NS nephrops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nephrops under 300kW'!$D$96:$M$96</c:f>
              <c:numCache>
                <c:formatCode>0%</c:formatCode>
                <c:ptCount val="10"/>
                <c:pt idx="8">
                  <c:v>1.6284810299211739E-2</c:v>
                </c:pt>
              </c:numCache>
            </c:numRef>
          </c:val>
          <c:extLst>
            <c:ext xmlns:c16="http://schemas.microsoft.com/office/drawing/2014/chart" uri="{C3380CC4-5D6E-409C-BE32-E72D297353CC}">
              <c16:uniqueId val="{00000004-21A6-4A37-81AE-FC154A37EF3F}"/>
            </c:ext>
          </c:extLst>
        </c:ser>
        <c:ser>
          <c:idx val="5"/>
          <c:order val="5"/>
          <c:tx>
            <c:strRef>
              <c:f>'NS nephrops under 300kW'!$C$97</c:f>
              <c:strCache>
                <c:ptCount val="1"/>
                <c:pt idx="0">
                  <c:v>Cod</c:v>
                </c:pt>
              </c:strCache>
            </c:strRef>
          </c:tx>
          <c:spPr>
            <a:solidFill>
              <a:srgbClr val="0F9AA9"/>
            </a:solidFill>
            <a:ln>
              <a:solidFill>
                <a:srgbClr val="FFFFFF"/>
              </a:solidFill>
            </a:ln>
          </c:spPr>
          <c:invertIfNegative val="0"/>
          <c:cat>
            <c:numRef>
              <c:f>'NS nephrops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nephrops under 300kW'!$D$97:$M$97</c:f>
              <c:numCache>
                <c:formatCode>0%</c:formatCode>
                <c:ptCount val="10"/>
                <c:pt idx="9">
                  <c:v>1.3409157142157008E-2</c:v>
                </c:pt>
              </c:numCache>
            </c:numRef>
          </c:val>
          <c:extLst>
            <c:ext xmlns:c16="http://schemas.microsoft.com/office/drawing/2014/chart" uri="{C3380CC4-5D6E-409C-BE32-E72D297353CC}">
              <c16:uniqueId val="{00000005-21A6-4A37-81AE-FC154A37EF3F}"/>
            </c:ext>
          </c:extLst>
        </c:ser>
        <c:ser>
          <c:idx val="6"/>
          <c:order val="6"/>
          <c:tx>
            <c:strRef>
              <c:f>'NS nephrops under 300kW'!$C$98</c:f>
              <c:strCache>
                <c:ptCount val="1"/>
                <c:pt idx="0">
                  <c:v>Squid</c:v>
                </c:pt>
              </c:strCache>
            </c:strRef>
          </c:tx>
          <c:spPr>
            <a:solidFill>
              <a:srgbClr val="FED825"/>
            </a:solidFill>
            <a:ln>
              <a:solidFill>
                <a:srgbClr val="FFFFFF"/>
              </a:solidFill>
            </a:ln>
          </c:spPr>
          <c:invertIfNegative val="0"/>
          <c:cat>
            <c:numRef>
              <c:f>'NS nephrops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nephrops under 300kW'!$D$98:$M$98</c:f>
              <c:numCache>
                <c:formatCode>0%</c:formatCode>
                <c:ptCount val="10"/>
                <c:pt idx="6">
                  <c:v>3.8196043988425236E-2</c:v>
                </c:pt>
                <c:pt idx="7">
                  <c:v>2.450219798189587E-2</c:v>
                </c:pt>
              </c:numCache>
            </c:numRef>
          </c:val>
          <c:extLst>
            <c:ext xmlns:c16="http://schemas.microsoft.com/office/drawing/2014/chart" uri="{C3380CC4-5D6E-409C-BE32-E72D297353CC}">
              <c16:uniqueId val="{00000006-21A6-4A37-81AE-FC154A37EF3F}"/>
            </c:ext>
          </c:extLst>
        </c:ser>
        <c:ser>
          <c:idx val="7"/>
          <c:order val="7"/>
          <c:tx>
            <c:strRef>
              <c:f>'NS nephrops under 300kW'!$C$99</c:f>
              <c:strCache>
                <c:ptCount val="1"/>
                <c:pt idx="0">
                  <c:v>Whiting</c:v>
                </c:pt>
              </c:strCache>
            </c:strRef>
          </c:tx>
          <c:spPr>
            <a:solidFill>
              <a:srgbClr val="707271"/>
            </a:solidFill>
            <a:ln>
              <a:solidFill>
                <a:srgbClr val="FFFFFF"/>
              </a:solidFill>
            </a:ln>
          </c:spPr>
          <c:invertIfNegative val="0"/>
          <c:cat>
            <c:numRef>
              <c:f>'NS nephrops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nephrops under 300kW'!$D$99:$M$99</c:f>
              <c:numCache>
                <c:formatCode>0%</c:formatCode>
                <c:ptCount val="10"/>
                <c:pt idx="0">
                  <c:v>2.0046652435126124E-2</c:v>
                </c:pt>
                <c:pt idx="1">
                  <c:v>2.0054456675116326E-2</c:v>
                </c:pt>
                <c:pt idx="2">
                  <c:v>2.3011969737738051E-2</c:v>
                </c:pt>
                <c:pt idx="3">
                  <c:v>2.0842069134997244E-2</c:v>
                </c:pt>
                <c:pt idx="4">
                  <c:v>2.0350078598338549E-2</c:v>
                </c:pt>
                <c:pt idx="5">
                  <c:v>1.9331318118683376E-2</c:v>
                </c:pt>
              </c:numCache>
            </c:numRef>
          </c:val>
          <c:extLst>
            <c:ext xmlns:c16="http://schemas.microsoft.com/office/drawing/2014/chart" uri="{C3380CC4-5D6E-409C-BE32-E72D297353CC}">
              <c16:uniqueId val="{00000007-21A6-4A37-81AE-FC154A37EF3F}"/>
            </c:ext>
          </c:extLst>
        </c:ser>
        <c:ser>
          <c:idx val="8"/>
          <c:order val="8"/>
          <c:tx>
            <c:strRef>
              <c:f>'NS nephrops under 300kW'!$C$100</c:f>
              <c:strCache>
                <c:ptCount val="1"/>
                <c:pt idx="0">
                  <c:v>Others</c:v>
                </c:pt>
              </c:strCache>
            </c:strRef>
          </c:tx>
          <c:spPr>
            <a:solidFill>
              <a:srgbClr val="55585A"/>
            </a:solidFill>
            <a:ln>
              <a:solidFill>
                <a:srgbClr val="FFFFFF"/>
              </a:solidFill>
            </a:ln>
          </c:spPr>
          <c:invertIfNegative val="0"/>
          <c:cat>
            <c:numRef>
              <c:f>'NS nephrops under 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nephrops under 300kW'!$D$100:$M$100</c:f>
              <c:numCache>
                <c:formatCode>0%</c:formatCode>
                <c:ptCount val="10"/>
                <c:pt idx="0">
                  <c:v>5.8737141124608101E-2</c:v>
                </c:pt>
                <c:pt idx="1">
                  <c:v>4.6996871798854305E-2</c:v>
                </c:pt>
                <c:pt idx="2">
                  <c:v>5.0438727007105895E-2</c:v>
                </c:pt>
                <c:pt idx="3">
                  <c:v>4.4153086938656765E-2</c:v>
                </c:pt>
                <c:pt idx="4">
                  <c:v>4.3857644718257843E-2</c:v>
                </c:pt>
                <c:pt idx="5">
                  <c:v>5.5157888430812096E-2</c:v>
                </c:pt>
                <c:pt idx="6">
                  <c:v>7.3107340339232496E-2</c:v>
                </c:pt>
                <c:pt idx="7">
                  <c:v>5.2580216686667645E-2</c:v>
                </c:pt>
                <c:pt idx="8">
                  <c:v>5.8661878470601073E-2</c:v>
                </c:pt>
                <c:pt idx="9">
                  <c:v>5.1584061878268486E-2</c:v>
                </c:pt>
              </c:numCache>
            </c:numRef>
          </c:val>
          <c:extLst>
            <c:ext xmlns:c16="http://schemas.microsoft.com/office/drawing/2014/chart" uri="{C3380CC4-5D6E-409C-BE32-E72D297353CC}">
              <c16:uniqueId val="{00000008-21A6-4A37-81AE-FC154A37EF3F}"/>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 nephrops under 300kW'!$B$162</c:f>
              <c:strCache>
                <c:ptCount val="1"/>
                <c:pt idx="0">
                  <c:v>Nephrops</c:v>
                </c:pt>
              </c:strCache>
            </c:strRef>
          </c:tx>
          <c:spPr>
            <a:solidFill>
              <a:srgbClr val="2273B9"/>
            </a:solidFill>
            <a:ln>
              <a:solidFill>
                <a:srgbClr val="FFFFFF"/>
              </a:solidFill>
            </a:ln>
          </c:spPr>
          <c:invertIfNegative val="0"/>
          <c:cat>
            <c:strRef>
              <c:f>'NS nephrops under 300kW'!$C$161:$E$161</c:f>
              <c:strCache>
                <c:ptCount val="3"/>
                <c:pt idx="0">
                  <c:v>Most
profitable
quartile</c:v>
                </c:pt>
                <c:pt idx="1">
                  <c:v>Middle 
two quartiles</c:v>
                </c:pt>
                <c:pt idx="2">
                  <c:v>Least
profitable
quartile</c:v>
                </c:pt>
              </c:strCache>
            </c:strRef>
          </c:cat>
          <c:val>
            <c:numRef>
              <c:f>'NS nephrops under 300kW'!$C$162:$E$162</c:f>
              <c:numCache>
                <c:formatCode>0%</c:formatCode>
                <c:ptCount val="3"/>
                <c:pt idx="0">
                  <c:v>0.51061973402854532</c:v>
                </c:pt>
                <c:pt idx="1">
                  <c:v>0.88563421971855349</c:v>
                </c:pt>
                <c:pt idx="2">
                  <c:v>0.84777247680385159</c:v>
                </c:pt>
              </c:numCache>
            </c:numRef>
          </c:val>
          <c:extLst>
            <c:ext xmlns:c16="http://schemas.microsoft.com/office/drawing/2014/chart" uri="{C3380CC4-5D6E-409C-BE32-E72D297353CC}">
              <c16:uniqueId val="{00000000-C5FF-4A55-B5A7-3850EB044693}"/>
            </c:ext>
          </c:extLst>
        </c:ser>
        <c:ser>
          <c:idx val="1"/>
          <c:order val="1"/>
          <c:tx>
            <c:strRef>
              <c:f>'NS nephrops under 300kW'!$B$163</c:f>
              <c:strCache>
                <c:ptCount val="1"/>
                <c:pt idx="0">
                  <c:v>Haddock</c:v>
                </c:pt>
              </c:strCache>
            </c:strRef>
          </c:tx>
          <c:spPr>
            <a:solidFill>
              <a:srgbClr val="C1D119"/>
            </a:solidFill>
            <a:ln>
              <a:solidFill>
                <a:srgbClr val="FFFFFF"/>
              </a:solidFill>
            </a:ln>
          </c:spPr>
          <c:invertIfNegative val="0"/>
          <c:cat>
            <c:strRef>
              <c:f>'NS nephrops under 300kW'!$C$161:$E$161</c:f>
              <c:strCache>
                <c:ptCount val="3"/>
                <c:pt idx="0">
                  <c:v>Most
profitable
quartile</c:v>
                </c:pt>
                <c:pt idx="1">
                  <c:v>Middle 
two quartiles</c:v>
                </c:pt>
                <c:pt idx="2">
                  <c:v>Least
profitable
quartile</c:v>
                </c:pt>
              </c:strCache>
            </c:strRef>
          </c:cat>
          <c:val>
            <c:numRef>
              <c:f>'NS nephrops under 300kW'!$C$163:$E$163</c:f>
              <c:numCache>
                <c:formatCode>0%</c:formatCode>
                <c:ptCount val="3"/>
                <c:pt idx="0">
                  <c:v>5.18187699181792E-2</c:v>
                </c:pt>
                <c:pt idx="1">
                  <c:v>3.2744298662377533E-2</c:v>
                </c:pt>
                <c:pt idx="2">
                  <c:v>1.7689074567891393E-2</c:v>
                </c:pt>
              </c:numCache>
            </c:numRef>
          </c:val>
          <c:extLst>
            <c:ext xmlns:c16="http://schemas.microsoft.com/office/drawing/2014/chart" uri="{C3380CC4-5D6E-409C-BE32-E72D297353CC}">
              <c16:uniqueId val="{00000001-C5FF-4A55-B5A7-3850EB044693}"/>
            </c:ext>
          </c:extLst>
        </c:ser>
        <c:ser>
          <c:idx val="2"/>
          <c:order val="2"/>
          <c:tx>
            <c:strRef>
              <c:f>'NS nephrops under 300kW'!$B$164</c:f>
              <c:strCache>
                <c:ptCount val="1"/>
                <c:pt idx="0">
                  <c:v>Squid</c:v>
                </c:pt>
              </c:strCache>
            </c:strRef>
          </c:tx>
          <c:spPr>
            <a:solidFill>
              <a:srgbClr val="E87308"/>
            </a:solidFill>
            <a:ln>
              <a:solidFill>
                <a:srgbClr val="FFFFFF"/>
              </a:solidFill>
            </a:ln>
          </c:spPr>
          <c:invertIfNegative val="0"/>
          <c:cat>
            <c:strRef>
              <c:f>'NS nephrops under 300kW'!$C$161:$E$161</c:f>
              <c:strCache>
                <c:ptCount val="3"/>
                <c:pt idx="0">
                  <c:v>Most
profitable
quartile</c:v>
                </c:pt>
                <c:pt idx="1">
                  <c:v>Middle 
two quartiles</c:v>
                </c:pt>
                <c:pt idx="2">
                  <c:v>Least
profitable
quartile</c:v>
                </c:pt>
              </c:strCache>
            </c:strRef>
          </c:cat>
          <c:val>
            <c:numRef>
              <c:f>'NS nephrops under 300kW'!$C$164:$E$164</c:f>
              <c:numCache>
                <c:formatCode>0%</c:formatCode>
                <c:ptCount val="3"/>
                <c:pt idx="0">
                  <c:v>0</c:v>
                </c:pt>
                <c:pt idx="1">
                  <c:v>3.4946391016877666E-2</c:v>
                </c:pt>
                <c:pt idx="2">
                  <c:v>0</c:v>
                </c:pt>
              </c:numCache>
            </c:numRef>
          </c:val>
          <c:extLst>
            <c:ext xmlns:c16="http://schemas.microsoft.com/office/drawing/2014/chart" uri="{C3380CC4-5D6E-409C-BE32-E72D297353CC}">
              <c16:uniqueId val="{00000002-C5FF-4A55-B5A7-3850EB044693}"/>
            </c:ext>
          </c:extLst>
        </c:ser>
        <c:ser>
          <c:idx val="3"/>
          <c:order val="3"/>
          <c:tx>
            <c:strRef>
              <c:f>'NS nephrops under 300kW'!$B$165</c:f>
              <c:strCache>
                <c:ptCount val="1"/>
                <c:pt idx="0">
                  <c:v>Whiting</c:v>
                </c:pt>
              </c:strCache>
            </c:strRef>
          </c:tx>
          <c:spPr>
            <a:solidFill>
              <a:srgbClr val="0F9AA9"/>
            </a:solidFill>
            <a:ln>
              <a:solidFill>
                <a:srgbClr val="FFFFFF"/>
              </a:solidFill>
            </a:ln>
          </c:spPr>
          <c:invertIfNegative val="0"/>
          <c:cat>
            <c:strRef>
              <c:f>'NS nephrops under 300kW'!$C$161:$E$161</c:f>
              <c:strCache>
                <c:ptCount val="3"/>
                <c:pt idx="0">
                  <c:v>Most
profitable
quartile</c:v>
                </c:pt>
                <c:pt idx="1">
                  <c:v>Middle 
two quartiles</c:v>
                </c:pt>
                <c:pt idx="2">
                  <c:v>Least
profitable
quartile</c:v>
                </c:pt>
              </c:strCache>
            </c:strRef>
          </c:cat>
          <c:val>
            <c:numRef>
              <c:f>'NS nephrops under 300kW'!$C$165:$E$165</c:f>
              <c:numCache>
                <c:formatCode>0%</c:formatCode>
                <c:ptCount val="3"/>
                <c:pt idx="0">
                  <c:v>3.8157496305489577E-2</c:v>
                </c:pt>
                <c:pt idx="1">
                  <c:v>1.796616103974823E-2</c:v>
                </c:pt>
                <c:pt idx="2">
                  <c:v>7.3547241435164515E-2</c:v>
                </c:pt>
              </c:numCache>
            </c:numRef>
          </c:val>
          <c:extLst>
            <c:ext xmlns:c16="http://schemas.microsoft.com/office/drawing/2014/chart" uri="{C3380CC4-5D6E-409C-BE32-E72D297353CC}">
              <c16:uniqueId val="{00000003-C5FF-4A55-B5A7-3850EB044693}"/>
            </c:ext>
          </c:extLst>
        </c:ser>
        <c:ser>
          <c:idx val="4"/>
          <c:order val="4"/>
          <c:tx>
            <c:strRef>
              <c:f>'NS nephrops under 300kW'!$B$166</c:f>
              <c:strCache>
                <c:ptCount val="1"/>
                <c:pt idx="0">
                  <c:v>Anglerfish</c:v>
                </c:pt>
              </c:strCache>
            </c:strRef>
          </c:tx>
          <c:spPr>
            <a:solidFill>
              <a:srgbClr val="648C2E"/>
            </a:solidFill>
            <a:ln>
              <a:solidFill>
                <a:srgbClr val="FFFFFF"/>
              </a:solidFill>
            </a:ln>
          </c:spPr>
          <c:invertIfNegative val="0"/>
          <c:cat>
            <c:strRef>
              <c:f>'NS nephrops under 300kW'!$C$161:$E$161</c:f>
              <c:strCache>
                <c:ptCount val="3"/>
                <c:pt idx="0">
                  <c:v>Most
profitable
quartile</c:v>
                </c:pt>
                <c:pt idx="1">
                  <c:v>Middle 
two quartiles</c:v>
                </c:pt>
                <c:pt idx="2">
                  <c:v>Least
profitable
quartile</c:v>
                </c:pt>
              </c:strCache>
            </c:strRef>
          </c:cat>
          <c:val>
            <c:numRef>
              <c:f>'NS nephrops under 300kW'!$C$166:$E$166</c:f>
              <c:numCache>
                <c:formatCode>0%</c:formatCode>
                <c:ptCount val="3"/>
                <c:pt idx="0">
                  <c:v>2.0372215356739928E-2</c:v>
                </c:pt>
                <c:pt idx="1">
                  <c:v>8.3205048990532288E-3</c:v>
                </c:pt>
                <c:pt idx="2">
                  <c:v>1.1425981389760559E-2</c:v>
                </c:pt>
              </c:numCache>
            </c:numRef>
          </c:val>
          <c:extLst>
            <c:ext xmlns:c16="http://schemas.microsoft.com/office/drawing/2014/chart" uri="{C3380CC4-5D6E-409C-BE32-E72D297353CC}">
              <c16:uniqueId val="{00000004-C5FF-4A55-B5A7-3850EB044693}"/>
            </c:ext>
          </c:extLst>
        </c:ser>
        <c:ser>
          <c:idx val="5"/>
          <c:order val="5"/>
          <c:tx>
            <c:strRef>
              <c:f>'NS nephrops under 300kW'!$B$167</c:f>
              <c:strCache>
                <c:ptCount val="1"/>
                <c:pt idx="0">
                  <c:v>Dabs</c:v>
                </c:pt>
              </c:strCache>
            </c:strRef>
          </c:tx>
          <c:spPr>
            <a:solidFill>
              <a:srgbClr val="FED825"/>
            </a:solidFill>
            <a:ln>
              <a:solidFill>
                <a:srgbClr val="FFFFFF"/>
              </a:solidFill>
            </a:ln>
          </c:spPr>
          <c:invertIfNegative val="0"/>
          <c:cat>
            <c:strRef>
              <c:f>'NS nephrops under 300kW'!$C$161:$E$161</c:f>
              <c:strCache>
                <c:ptCount val="3"/>
                <c:pt idx="0">
                  <c:v>Most
profitable
quartile</c:v>
                </c:pt>
                <c:pt idx="1">
                  <c:v>Middle 
two quartiles</c:v>
                </c:pt>
                <c:pt idx="2">
                  <c:v>Least
profitable
quartile</c:v>
                </c:pt>
              </c:strCache>
            </c:strRef>
          </c:cat>
          <c:val>
            <c:numRef>
              <c:f>'NS nephrops under 300kW'!$C$167:$E$167</c:f>
              <c:numCache>
                <c:formatCode>0%</c:formatCode>
                <c:ptCount val="3"/>
                <c:pt idx="0">
                  <c:v>0</c:v>
                </c:pt>
                <c:pt idx="1">
                  <c:v>0</c:v>
                </c:pt>
                <c:pt idx="2">
                  <c:v>7.7881911811065775E-3</c:v>
                </c:pt>
              </c:numCache>
            </c:numRef>
          </c:val>
          <c:extLst>
            <c:ext xmlns:c16="http://schemas.microsoft.com/office/drawing/2014/chart" uri="{C3380CC4-5D6E-409C-BE32-E72D297353CC}">
              <c16:uniqueId val="{00000005-C5FF-4A55-B5A7-3850EB044693}"/>
            </c:ext>
          </c:extLst>
        </c:ser>
        <c:ser>
          <c:idx val="6"/>
          <c:order val="6"/>
          <c:tx>
            <c:strRef>
              <c:f>'NS nephrops under 300kW'!$B$168</c:f>
              <c:strCache>
                <c:ptCount val="1"/>
                <c:pt idx="0">
                  <c:v>Sprats</c:v>
                </c:pt>
              </c:strCache>
            </c:strRef>
          </c:tx>
          <c:spPr>
            <a:solidFill>
              <a:srgbClr val="E84A38"/>
            </a:solidFill>
            <a:ln>
              <a:solidFill>
                <a:srgbClr val="FFFFFF"/>
              </a:solidFill>
            </a:ln>
          </c:spPr>
          <c:invertIfNegative val="0"/>
          <c:cat>
            <c:strRef>
              <c:f>'NS nephrops under 300kW'!$C$161:$E$161</c:f>
              <c:strCache>
                <c:ptCount val="3"/>
                <c:pt idx="0">
                  <c:v>Most
profitable
quartile</c:v>
                </c:pt>
                <c:pt idx="1">
                  <c:v>Middle 
two quartiles</c:v>
                </c:pt>
                <c:pt idx="2">
                  <c:v>Least
profitable
quartile</c:v>
                </c:pt>
              </c:strCache>
            </c:strRef>
          </c:cat>
          <c:val>
            <c:numRef>
              <c:f>'NS nephrops under 300kW'!$C$168:$E$168</c:f>
              <c:numCache>
                <c:formatCode>0%</c:formatCode>
                <c:ptCount val="3"/>
                <c:pt idx="0">
                  <c:v>0.3145277732603286</c:v>
                </c:pt>
                <c:pt idx="1">
                  <c:v>0</c:v>
                </c:pt>
                <c:pt idx="2">
                  <c:v>0</c:v>
                </c:pt>
              </c:numCache>
            </c:numRef>
          </c:val>
          <c:extLst>
            <c:ext xmlns:c16="http://schemas.microsoft.com/office/drawing/2014/chart" uri="{C3380CC4-5D6E-409C-BE32-E72D297353CC}">
              <c16:uniqueId val="{00000006-C5FF-4A55-B5A7-3850EB044693}"/>
            </c:ext>
          </c:extLst>
        </c:ser>
        <c:ser>
          <c:idx val="7"/>
          <c:order val="7"/>
          <c:tx>
            <c:strRef>
              <c:f>'NS nephrops under 300kW'!$B$169</c:f>
              <c:strCache>
                <c:ptCount val="1"/>
                <c:pt idx="0">
                  <c:v>Others</c:v>
                </c:pt>
              </c:strCache>
            </c:strRef>
          </c:tx>
          <c:spPr>
            <a:solidFill>
              <a:srgbClr val="55585A"/>
            </a:solidFill>
            <a:ln>
              <a:solidFill>
                <a:srgbClr val="FFFFFF"/>
              </a:solidFill>
            </a:ln>
          </c:spPr>
          <c:invertIfNegative val="0"/>
          <c:cat>
            <c:strRef>
              <c:f>'NS nephrops under 300kW'!$C$161:$E$161</c:f>
              <c:strCache>
                <c:ptCount val="3"/>
                <c:pt idx="0">
                  <c:v>Most
profitable
quartile</c:v>
                </c:pt>
                <c:pt idx="1">
                  <c:v>Middle 
two quartiles</c:v>
                </c:pt>
                <c:pt idx="2">
                  <c:v>Least
profitable
quartile</c:v>
                </c:pt>
              </c:strCache>
            </c:strRef>
          </c:cat>
          <c:val>
            <c:numRef>
              <c:f>'NS nephrops under 300kW'!$C$169:$E$169</c:f>
              <c:numCache>
                <c:formatCode>0%</c:formatCode>
                <c:ptCount val="3"/>
                <c:pt idx="0">
                  <c:v>6.4504011130717354E-2</c:v>
                </c:pt>
                <c:pt idx="1">
                  <c:v>2.0388424663389859E-2</c:v>
                </c:pt>
                <c:pt idx="2">
                  <c:v>4.1777034622225262E-2</c:v>
                </c:pt>
              </c:numCache>
            </c:numRef>
          </c:val>
          <c:extLst>
            <c:ext xmlns:c16="http://schemas.microsoft.com/office/drawing/2014/chart" uri="{C3380CC4-5D6E-409C-BE32-E72D297353CC}">
              <c16:uniqueId val="{00000007-C5FF-4A55-B5A7-3850EB044693}"/>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 nephrops under 300kW'!$H$162</c:f>
              <c:strCache>
                <c:ptCount val="1"/>
                <c:pt idx="0">
                  <c:v>Nephrops</c:v>
                </c:pt>
              </c:strCache>
            </c:strRef>
          </c:tx>
          <c:spPr>
            <a:solidFill>
              <a:srgbClr val="2273B9"/>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300kW'!$I$162:$K$162</c:f>
              <c:numCache>
                <c:formatCode>0%</c:formatCode>
                <c:ptCount val="3"/>
                <c:pt idx="0">
                  <c:v>0.78749715184062197</c:v>
                </c:pt>
                <c:pt idx="1">
                  <c:v>0.92520216886875051</c:v>
                </c:pt>
                <c:pt idx="2">
                  <c:v>0.92688489637237736</c:v>
                </c:pt>
              </c:numCache>
            </c:numRef>
          </c:val>
          <c:extLst>
            <c:ext xmlns:c16="http://schemas.microsoft.com/office/drawing/2014/chart" uri="{C3380CC4-5D6E-409C-BE32-E72D297353CC}">
              <c16:uniqueId val="{00000000-6D21-4892-841C-23F5D739BDE0}"/>
            </c:ext>
          </c:extLst>
        </c:ser>
        <c:ser>
          <c:idx val="1"/>
          <c:order val="1"/>
          <c:tx>
            <c:strRef>
              <c:f>'NS nephrops under 300kW'!$H$163</c:f>
              <c:strCache>
                <c:ptCount val="1"/>
                <c:pt idx="0">
                  <c:v>Squid</c:v>
                </c:pt>
              </c:strCache>
            </c:strRef>
          </c:tx>
          <c:spPr>
            <a:solidFill>
              <a:srgbClr val="E87308"/>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300kW'!$I$163:$K$163</c:f>
              <c:numCache>
                <c:formatCode>0%</c:formatCode>
                <c:ptCount val="3"/>
                <c:pt idx="0">
                  <c:v>0</c:v>
                </c:pt>
                <c:pt idx="1">
                  <c:v>4.0632812836377395E-2</c:v>
                </c:pt>
                <c:pt idx="2">
                  <c:v>0</c:v>
                </c:pt>
              </c:numCache>
            </c:numRef>
          </c:val>
          <c:extLst>
            <c:ext xmlns:c16="http://schemas.microsoft.com/office/drawing/2014/chart" uri="{C3380CC4-5D6E-409C-BE32-E72D297353CC}">
              <c16:uniqueId val="{00000001-6D21-4892-841C-23F5D739BDE0}"/>
            </c:ext>
          </c:extLst>
        </c:ser>
        <c:ser>
          <c:idx val="2"/>
          <c:order val="2"/>
          <c:tx>
            <c:strRef>
              <c:f>'NS nephrops under 300kW'!$H$164</c:f>
              <c:strCache>
                <c:ptCount val="1"/>
                <c:pt idx="0">
                  <c:v>Haddock</c:v>
                </c:pt>
              </c:strCache>
            </c:strRef>
          </c:tx>
          <c:spPr>
            <a:solidFill>
              <a:srgbClr val="C1D119"/>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300kW'!$I$164:$K$164</c:f>
              <c:numCache>
                <c:formatCode>0%</c:formatCode>
                <c:ptCount val="3"/>
                <c:pt idx="0">
                  <c:v>2.7619398382878697E-2</c:v>
                </c:pt>
                <c:pt idx="1">
                  <c:v>1.1298790687998314E-2</c:v>
                </c:pt>
                <c:pt idx="2">
                  <c:v>6.1578907411611239E-3</c:v>
                </c:pt>
              </c:numCache>
            </c:numRef>
          </c:val>
          <c:extLst>
            <c:ext xmlns:c16="http://schemas.microsoft.com/office/drawing/2014/chart" uri="{C3380CC4-5D6E-409C-BE32-E72D297353CC}">
              <c16:uniqueId val="{00000002-6D21-4892-841C-23F5D739BDE0}"/>
            </c:ext>
          </c:extLst>
        </c:ser>
        <c:ser>
          <c:idx val="3"/>
          <c:order val="3"/>
          <c:tx>
            <c:strRef>
              <c:f>'NS nephrops under 300kW'!$H$165</c:f>
              <c:strCache>
                <c:ptCount val="1"/>
                <c:pt idx="0">
                  <c:v>Anglerfish</c:v>
                </c:pt>
              </c:strCache>
            </c:strRef>
          </c:tx>
          <c:spPr>
            <a:solidFill>
              <a:srgbClr val="648C2E"/>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300kW'!$I$165:$K$165</c:f>
              <c:numCache>
                <c:formatCode>0%</c:formatCode>
                <c:ptCount val="3"/>
                <c:pt idx="0">
                  <c:v>3.2070744146905028E-2</c:v>
                </c:pt>
                <c:pt idx="1">
                  <c:v>7.5462674752190496E-3</c:v>
                </c:pt>
                <c:pt idx="2">
                  <c:v>1.1081655491574305E-2</c:v>
                </c:pt>
              </c:numCache>
            </c:numRef>
          </c:val>
          <c:extLst>
            <c:ext xmlns:c16="http://schemas.microsoft.com/office/drawing/2014/chart" uri="{C3380CC4-5D6E-409C-BE32-E72D297353CC}">
              <c16:uniqueId val="{00000003-6D21-4892-841C-23F5D739BDE0}"/>
            </c:ext>
          </c:extLst>
        </c:ser>
        <c:ser>
          <c:idx val="4"/>
          <c:order val="4"/>
          <c:tx>
            <c:strRef>
              <c:f>'NS nephrops under 300kW'!$H$166</c:f>
              <c:strCache>
                <c:ptCount val="1"/>
                <c:pt idx="0">
                  <c:v>Whiting</c:v>
                </c:pt>
              </c:strCache>
            </c:strRef>
          </c:tx>
          <c:spPr>
            <a:solidFill>
              <a:srgbClr val="0F9AA9"/>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300kW'!$I$166:$K$166</c:f>
              <c:numCache>
                <c:formatCode>0%</c:formatCode>
                <c:ptCount val="3"/>
                <c:pt idx="0">
                  <c:v>0</c:v>
                </c:pt>
                <c:pt idx="1">
                  <c:v>0</c:v>
                </c:pt>
                <c:pt idx="2">
                  <c:v>1.9216930693341617E-2</c:v>
                </c:pt>
              </c:numCache>
            </c:numRef>
          </c:val>
          <c:extLst>
            <c:ext xmlns:c16="http://schemas.microsoft.com/office/drawing/2014/chart" uri="{C3380CC4-5D6E-409C-BE32-E72D297353CC}">
              <c16:uniqueId val="{00000004-6D21-4892-841C-23F5D739BDE0}"/>
            </c:ext>
          </c:extLst>
        </c:ser>
        <c:ser>
          <c:idx val="5"/>
          <c:order val="5"/>
          <c:tx>
            <c:strRef>
              <c:f>'NS nephrops under 300kW'!$H$167</c:f>
              <c:strCache>
                <c:ptCount val="1"/>
                <c:pt idx="0">
                  <c:v>Halibut</c:v>
                </c:pt>
              </c:strCache>
            </c:strRef>
          </c:tx>
          <c:spPr>
            <a:solidFill>
              <a:srgbClr val="707271"/>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300kW'!$I$167:$K$167</c:f>
              <c:numCache>
                <c:formatCode>0%</c:formatCode>
                <c:ptCount val="3"/>
                <c:pt idx="0">
                  <c:v>2.5353372663422635E-2</c:v>
                </c:pt>
                <c:pt idx="1">
                  <c:v>0</c:v>
                </c:pt>
                <c:pt idx="2">
                  <c:v>5.5591688235920719E-3</c:v>
                </c:pt>
              </c:numCache>
            </c:numRef>
          </c:val>
          <c:extLst>
            <c:ext xmlns:c16="http://schemas.microsoft.com/office/drawing/2014/chart" uri="{C3380CC4-5D6E-409C-BE32-E72D297353CC}">
              <c16:uniqueId val="{00000005-6D21-4892-841C-23F5D739BDE0}"/>
            </c:ext>
          </c:extLst>
        </c:ser>
        <c:ser>
          <c:idx val="6"/>
          <c:order val="6"/>
          <c:tx>
            <c:strRef>
              <c:f>'NS nephrops under 300kW'!$H$168</c:f>
              <c:strCache>
                <c:ptCount val="1"/>
                <c:pt idx="0">
                  <c:v>Sprats</c:v>
                </c:pt>
              </c:strCache>
            </c:strRef>
          </c:tx>
          <c:spPr>
            <a:solidFill>
              <a:srgbClr val="E84A38"/>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300kW'!$I$168:$K$168</c:f>
              <c:numCache>
                <c:formatCode>0%</c:formatCode>
                <c:ptCount val="3"/>
                <c:pt idx="0">
                  <c:v>4.3573645539897787E-2</c:v>
                </c:pt>
                <c:pt idx="1">
                  <c:v>0</c:v>
                </c:pt>
                <c:pt idx="2">
                  <c:v>0</c:v>
                </c:pt>
              </c:numCache>
            </c:numRef>
          </c:val>
          <c:extLst>
            <c:ext xmlns:c16="http://schemas.microsoft.com/office/drawing/2014/chart" uri="{C3380CC4-5D6E-409C-BE32-E72D297353CC}">
              <c16:uniqueId val="{00000006-6D21-4892-841C-23F5D739BDE0}"/>
            </c:ext>
          </c:extLst>
        </c:ser>
        <c:ser>
          <c:idx val="7"/>
          <c:order val="7"/>
          <c:tx>
            <c:strRef>
              <c:f>'NS nephrops under 300kW'!$H$169</c:f>
              <c:strCache>
                <c:ptCount val="1"/>
                <c:pt idx="0">
                  <c:v>Others</c:v>
                </c:pt>
              </c:strCache>
            </c:strRef>
          </c:tx>
          <c:spPr>
            <a:solidFill>
              <a:srgbClr val="55585A"/>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300kW'!$I$169:$K$169</c:f>
              <c:numCache>
                <c:formatCode>0%</c:formatCode>
                <c:ptCount val="3"/>
                <c:pt idx="0">
                  <c:v>8.3885687426273781E-2</c:v>
                </c:pt>
                <c:pt idx="1">
                  <c:v>-2.531285270472261E-2</c:v>
                </c:pt>
                <c:pt idx="2">
                  <c:v>3.1099457877953429E-2</c:v>
                </c:pt>
              </c:numCache>
            </c:numRef>
          </c:val>
          <c:extLst>
            <c:ext xmlns:c16="http://schemas.microsoft.com/office/drawing/2014/chart" uri="{C3380CC4-5D6E-409C-BE32-E72D297353CC}">
              <c16:uniqueId val="{00000007-6D21-4892-841C-23F5D739BDE0}"/>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 nephrops under 300kW'!$K$139</c:f>
              <c:strCache>
                <c:ptCount val="1"/>
                <c:pt idx="0">
                  <c:v>Total income</c:v>
                </c:pt>
              </c:strCache>
            </c:strRef>
          </c:tx>
          <c:spPr>
            <a:solidFill>
              <a:srgbClr val="087CBB"/>
            </a:solidFill>
            <a:ln>
              <a:solidFill>
                <a:schemeClr val="accent1"/>
              </a:solidFill>
            </a:ln>
          </c:spPr>
          <c:invertIfNegative val="0"/>
          <c:cat>
            <c:strRef>
              <c:f>'NS nephrops under 300kW'!$L$138:$N$138</c:f>
              <c:strCache>
                <c:ptCount val="3"/>
                <c:pt idx="0">
                  <c:v>Most
profitable
quartile</c:v>
                </c:pt>
                <c:pt idx="1">
                  <c:v>Middle
two quartiles</c:v>
                </c:pt>
                <c:pt idx="2">
                  <c:v>Least
profitable
quartile</c:v>
                </c:pt>
              </c:strCache>
            </c:strRef>
          </c:cat>
          <c:val>
            <c:numRef>
              <c:f>'NS nephrops under 300kW'!$L$139:$N$139</c:f>
              <c:numCache>
                <c:formatCode>#,##0</c:formatCode>
                <c:ptCount val="3"/>
                <c:pt idx="0">
                  <c:v>315.40625</c:v>
                </c:pt>
                <c:pt idx="1">
                  <c:v>178.68016903409099</c:v>
                </c:pt>
                <c:pt idx="2">
                  <c:v>160.005734375</c:v>
                </c:pt>
              </c:numCache>
            </c:numRef>
          </c:val>
          <c:extLst>
            <c:ext xmlns:c16="http://schemas.microsoft.com/office/drawing/2014/chart" uri="{C3380CC4-5D6E-409C-BE32-E72D297353CC}">
              <c16:uniqueId val="{00000000-1F23-4265-BEC4-CC7688BFAA8D}"/>
            </c:ext>
          </c:extLst>
        </c:ser>
        <c:ser>
          <c:idx val="1"/>
          <c:order val="1"/>
          <c:tx>
            <c:strRef>
              <c:f>'NS nephrops under 300kW'!$K$140</c:f>
              <c:strCache>
                <c:ptCount val="1"/>
                <c:pt idx="0">
                  <c:v>Operating costs</c:v>
                </c:pt>
              </c:strCache>
            </c:strRef>
          </c:tx>
          <c:spPr>
            <a:solidFill>
              <a:srgbClr val="E87308"/>
            </a:solidFill>
          </c:spPr>
          <c:invertIfNegative val="0"/>
          <c:cat>
            <c:strRef>
              <c:f>'NS nephrops under 300kW'!$L$138:$N$138</c:f>
              <c:strCache>
                <c:ptCount val="3"/>
                <c:pt idx="0">
                  <c:v>Most
profitable
quartile</c:v>
                </c:pt>
                <c:pt idx="1">
                  <c:v>Middle
two quartiles</c:v>
                </c:pt>
                <c:pt idx="2">
                  <c:v>Least
profitable
quartile</c:v>
                </c:pt>
              </c:strCache>
            </c:strRef>
          </c:cat>
          <c:val>
            <c:numRef>
              <c:f>'NS nephrops under 300kW'!$L$140:$N$140</c:f>
              <c:numCache>
                <c:formatCode>#,##0</c:formatCode>
                <c:ptCount val="3"/>
                <c:pt idx="0">
                  <c:v>288.82228125</c:v>
                </c:pt>
                <c:pt idx="1">
                  <c:v>183.17615719697</c:v>
                </c:pt>
                <c:pt idx="2">
                  <c:v>193.20634375</c:v>
                </c:pt>
              </c:numCache>
            </c:numRef>
          </c:val>
          <c:extLst>
            <c:ext xmlns:c16="http://schemas.microsoft.com/office/drawing/2014/chart" uri="{C3380CC4-5D6E-409C-BE32-E72D297353CC}">
              <c16:uniqueId val="{00000001-1F23-4265-BEC4-CC7688BFAA8D}"/>
            </c:ext>
          </c:extLst>
        </c:ser>
        <c:ser>
          <c:idx val="2"/>
          <c:order val="2"/>
          <c:tx>
            <c:strRef>
              <c:f>'NS nephrops under 300kW'!$K$141</c:f>
              <c:strCache>
                <c:ptCount val="1"/>
                <c:pt idx="0">
                  <c:v>Operating profit</c:v>
                </c:pt>
              </c:strCache>
            </c:strRef>
          </c:tx>
          <c:spPr>
            <a:solidFill>
              <a:srgbClr val="51AA81"/>
            </a:solidFill>
          </c:spPr>
          <c:invertIfNegative val="0"/>
          <c:cat>
            <c:strRef>
              <c:f>'NS nephrops under 300kW'!$L$138:$N$138</c:f>
              <c:strCache>
                <c:ptCount val="3"/>
                <c:pt idx="0">
                  <c:v>Most
profitable
quartile</c:v>
                </c:pt>
                <c:pt idx="1">
                  <c:v>Middle
two quartiles</c:v>
                </c:pt>
                <c:pt idx="2">
                  <c:v>Least
profitable
quartile</c:v>
                </c:pt>
              </c:strCache>
            </c:strRef>
          </c:cat>
          <c:val>
            <c:numRef>
              <c:f>'NS nephrops under 300kW'!$L$141:$N$141</c:f>
              <c:numCache>
                <c:formatCode>#,##0</c:formatCode>
                <c:ptCount val="3"/>
                <c:pt idx="0">
                  <c:v>26.58396875</c:v>
                </c:pt>
                <c:pt idx="1">
                  <c:v>-4.4959881628787803</c:v>
                </c:pt>
                <c:pt idx="2">
                  <c:v>-33.200609374999999</c:v>
                </c:pt>
              </c:numCache>
            </c:numRef>
          </c:val>
          <c:extLst>
            <c:ext xmlns:c16="http://schemas.microsoft.com/office/drawing/2014/chart" uri="{C3380CC4-5D6E-409C-BE32-E72D297353CC}">
              <c16:uniqueId val="{00000002-1F23-4265-BEC4-CC7688BFAA8D}"/>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 nephrops under 300kW'!$K$142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24m'!$A$48</c:f>
          <c:strCache>
            <c:ptCount val="1"/>
            <c:pt idx="0">
              <c:v>Landings per kW day at sea (kg)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E61E-4B6F-8245-2C8B7D80371F}"/>
              </c:ext>
            </c:extLst>
          </c:dPt>
          <c:dPt>
            <c:idx val="10"/>
            <c:bubble3D val="0"/>
            <c:spPr>
              <a:ln w="57150">
                <a:solidFill>
                  <a:srgbClr val="2273B9"/>
                </a:solidFill>
                <a:prstDash val="sysDot"/>
              </a:ln>
            </c:spPr>
            <c:extLst>
              <c:ext xmlns:c16="http://schemas.microsoft.com/office/drawing/2014/chart" uri="{C3380CC4-5D6E-409C-BE32-E72D297353CC}">
                <c16:uniqueId val="{00000003-E61E-4B6F-8245-2C8B7D80371F}"/>
              </c:ext>
            </c:extLst>
          </c:dPt>
          <c:cat>
            <c:numRef>
              <c:f>'NSWOS demersal over 24m'!$D$2:$N$2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'NSWOS demersal over 24m'!$D$21:$N$21</c:f>
              <c:numCache>
                <c:formatCode>#,##0.00</c:formatCode>
                <c:ptCount val="11"/>
                <c:pt idx="0">
                  <c:v>4.1424312303772934</c:v>
                </c:pt>
                <c:pt idx="1">
                  <c:v>4.1987933477858812</c:v>
                </c:pt>
                <c:pt idx="2">
                  <c:v>4.9229078935666379</c:v>
                </c:pt>
                <c:pt idx="3">
                  <c:v>6.5218807494104132</c:v>
                </c:pt>
                <c:pt idx="4">
                  <c:v>5.9072705216827153</c:v>
                </c:pt>
                <c:pt idx="5">
                  <c:v>5.6670269523047017</c:v>
                </c:pt>
                <c:pt idx="6">
                  <c:v>6.1898789476587153</c:v>
                </c:pt>
                <c:pt idx="7">
                  <c:v>6.4508966756131105</c:v>
                </c:pt>
                <c:pt idx="8">
                  <c:v>5.9475518317611984</c:v>
                </c:pt>
                <c:pt idx="9">
                  <c:v>5.9371070047913292</c:v>
                </c:pt>
                <c:pt idx="10">
                  <c:v>5.2905801769286063</c:v>
                </c:pt>
              </c:numCache>
            </c:numRef>
          </c:val>
          <c:smooth val="0"/>
          <c:extLst>
            <c:ext xmlns:c16="http://schemas.microsoft.com/office/drawing/2014/chart" uri="{C3380CC4-5D6E-409C-BE32-E72D297353CC}">
              <c16:uniqueId val="{00000004-E61E-4B6F-8245-2C8B7D80371F}"/>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o250kW'!$A$50</c:f>
          <c:strCache>
            <c:ptCount val="1"/>
            <c:pt idx="0">
              <c:v>Average price per tonne landed (£)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5FF0-444B-B3E8-DB7383A6B7D9}"/>
              </c:ext>
            </c:extLst>
          </c:dPt>
          <c:dPt>
            <c:idx val="10"/>
            <c:bubble3D val="0"/>
            <c:spPr>
              <a:ln w="57150">
                <a:solidFill>
                  <a:schemeClr val="accent4"/>
                </a:solidFill>
                <a:prstDash val="sysDot"/>
              </a:ln>
            </c:spPr>
            <c:extLst>
              <c:ext xmlns:c16="http://schemas.microsoft.com/office/drawing/2014/chart" uri="{C3380CC4-5D6E-409C-BE32-E72D297353CC}">
                <c16:uniqueId val="{00000003-5FF0-444B-B3E8-DB7383A6B7D9}"/>
              </c:ext>
            </c:extLst>
          </c:dPt>
          <c:cat>
            <c:numRef>
              <c:f>'Area VIIa nephrops o250kW'!$D$2:$M$2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'Area VIIa nephrops o250kW'!$D$20:$N$20</c:f>
              <c:numCache>
                <c:formatCode>#,##0</c:formatCode>
                <c:ptCount val="11"/>
                <c:pt idx="0">
                  <c:v>1992</c:v>
                </c:pt>
                <c:pt idx="1">
                  <c:v>2370</c:v>
                </c:pt>
                <c:pt idx="2">
                  <c:v>2602</c:v>
                </c:pt>
                <c:pt idx="3">
                  <c:v>2198</c:v>
                </c:pt>
                <c:pt idx="4">
                  <c:v>2432</c:v>
                </c:pt>
                <c:pt idx="5">
                  <c:v>2200</c:v>
                </c:pt>
                <c:pt idx="6">
                  <c:v>2399</c:v>
                </c:pt>
                <c:pt idx="7">
                  <c:v>2460</c:v>
                </c:pt>
                <c:pt idx="8">
                  <c:v>2291</c:v>
                </c:pt>
                <c:pt idx="9">
                  <c:v>2472</c:v>
                </c:pt>
                <c:pt idx="10">
                  <c:v>1740</c:v>
                </c:pt>
              </c:numCache>
            </c:numRef>
          </c:val>
          <c:smooth val="0"/>
          <c:extLst>
            <c:ext xmlns:c16="http://schemas.microsoft.com/office/drawing/2014/chart" uri="{C3380CC4-5D6E-409C-BE32-E72D297353CC}">
              <c16:uniqueId val="{00000004-5FF0-444B-B3E8-DB7383A6B7D9}"/>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24m'!$A$49</c:f>
          <c:strCache>
            <c:ptCount val="1"/>
            <c:pt idx="0">
              <c:v>Fishing income per kW day at sea (£)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03B0-49FD-89C1-950DC2811ABF}"/>
              </c:ext>
            </c:extLst>
          </c:dPt>
          <c:dPt>
            <c:idx val="10"/>
            <c:bubble3D val="0"/>
            <c:spPr>
              <a:ln w="57150">
                <a:solidFill>
                  <a:srgbClr val="648C2E"/>
                </a:solidFill>
                <a:prstDash val="sysDot"/>
              </a:ln>
            </c:spPr>
            <c:extLst>
              <c:ext xmlns:c16="http://schemas.microsoft.com/office/drawing/2014/chart" uri="{C3380CC4-5D6E-409C-BE32-E72D297353CC}">
                <c16:uniqueId val="{00000003-03B0-49FD-89C1-950DC2811ABF}"/>
              </c:ext>
            </c:extLst>
          </c:dPt>
          <c:cat>
            <c:numRef>
              <c:f>'NSWOS demersal over 24m'!$D$2:$N$2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'NSWOS demersal over 24m'!$D$22:$N$22</c:f>
              <c:numCache>
                <c:formatCode>#,##0.00</c:formatCode>
                <c:ptCount val="11"/>
                <c:pt idx="0">
                  <c:v>8.1740870257245692</c:v>
                </c:pt>
                <c:pt idx="1">
                  <c:v>8.9254643895297505</c:v>
                </c:pt>
                <c:pt idx="2">
                  <c:v>9.0752660561972096</c:v>
                </c:pt>
                <c:pt idx="3">
                  <c:v>10.893563272805901</c:v>
                </c:pt>
                <c:pt idx="4">
                  <c:v>10.7930966271405</c:v>
                </c:pt>
                <c:pt idx="5">
                  <c:v>10.0516798631268</c:v>
                </c:pt>
                <c:pt idx="6">
                  <c:v>11.976707258309</c:v>
                </c:pt>
                <c:pt idx="7">
                  <c:v>13.5400385542283</c:v>
                </c:pt>
                <c:pt idx="8">
                  <c:v>12.675188695886099</c:v>
                </c:pt>
                <c:pt idx="9">
                  <c:v>12.4684571670089</c:v>
                </c:pt>
                <c:pt idx="10">
                  <c:v>9.5106620676473437</c:v>
                </c:pt>
              </c:numCache>
            </c:numRef>
          </c:val>
          <c:smooth val="0"/>
          <c:extLst>
            <c:ext xmlns:c16="http://schemas.microsoft.com/office/drawing/2014/chart" uri="{C3380CC4-5D6E-409C-BE32-E72D297353CC}">
              <c16:uniqueId val="{00000004-03B0-49FD-89C1-950DC2811ABF}"/>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24m'!$B$62</c:f>
          <c:strCache>
            <c:ptCount val="1"/>
            <c:pt idx="0">
              <c:v>Total cost per kW day at sea (£)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BFEE-4C26-AA55-FED2A9291976}"/>
              </c:ext>
            </c:extLst>
          </c:dPt>
          <c:dPt>
            <c:idx val="10"/>
            <c:bubble3D val="0"/>
            <c:spPr>
              <a:ln w="57150">
                <a:solidFill>
                  <a:srgbClr val="087CBB"/>
                </a:solidFill>
                <a:prstDash val="sysDot"/>
              </a:ln>
            </c:spPr>
            <c:extLst>
              <c:ext xmlns:c16="http://schemas.microsoft.com/office/drawing/2014/chart" uri="{C3380CC4-5D6E-409C-BE32-E72D297353CC}">
                <c16:uniqueId val="{00000003-BFEE-4C26-AA55-FED2A9291976}"/>
              </c:ext>
            </c:extLst>
          </c:dPt>
          <c:cat>
            <c:numRef>
              <c:f>'NSWOS demersal over 24m'!$D$2:$N$2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'NSWOS demersal over 24m'!$D$23:$N$23</c:f>
              <c:numCache>
                <c:formatCode>#,##0.00</c:formatCode>
                <c:ptCount val="11"/>
                <c:pt idx="0">
                  <c:v>7.6063545762887497</c:v>
                </c:pt>
                <c:pt idx="1">
                  <c:v>8.4516309570287103</c:v>
                </c:pt>
                <c:pt idx="2">
                  <c:v>9.0237890167362895</c:v>
                </c:pt>
                <c:pt idx="3">
                  <c:v>10.3312484216335</c:v>
                </c:pt>
                <c:pt idx="4">
                  <c:v>9.9528534265870494</c:v>
                </c:pt>
                <c:pt idx="5">
                  <c:v>8.9918395006585801</c:v>
                </c:pt>
                <c:pt idx="6">
                  <c:v>10.248052204036</c:v>
                </c:pt>
                <c:pt idx="7">
                  <c:v>11.6803354085219</c:v>
                </c:pt>
                <c:pt idx="8">
                  <c:v>10.758782053863101</c:v>
                </c:pt>
                <c:pt idx="9">
                  <c:v>10.825882714553201</c:v>
                </c:pt>
                <c:pt idx="10">
                  <c:v>8.8271516104515246</c:v>
                </c:pt>
              </c:numCache>
            </c:numRef>
          </c:val>
          <c:smooth val="0"/>
          <c:extLst>
            <c:ext xmlns:c16="http://schemas.microsoft.com/office/drawing/2014/chart" uri="{C3380CC4-5D6E-409C-BE32-E72D297353CC}">
              <c16:uniqueId val="{00000004-BFEE-4C26-AA55-FED2A9291976}"/>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24m'!$K$48</c:f>
          <c:strCache>
            <c:ptCount val="1"/>
            <c:pt idx="0">
              <c:v>Operating profit per kW day at sea (£)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4162-4792-94EC-E1F461CC4DCE}"/>
              </c:ext>
            </c:extLst>
          </c:dPt>
          <c:dPt>
            <c:idx val="10"/>
            <c:bubble3D val="0"/>
            <c:spPr>
              <a:ln w="57150">
                <a:solidFill>
                  <a:schemeClr val="accent3"/>
                </a:solidFill>
                <a:prstDash val="sysDot"/>
              </a:ln>
            </c:spPr>
            <c:extLst>
              <c:ext xmlns:c16="http://schemas.microsoft.com/office/drawing/2014/chart" uri="{C3380CC4-5D6E-409C-BE32-E72D297353CC}">
                <c16:uniqueId val="{00000003-4162-4792-94EC-E1F461CC4DCE}"/>
              </c:ext>
            </c:extLst>
          </c:dPt>
          <c:cat>
            <c:numRef>
              <c:f>'NSWOS demersal over 24m'!$D$2:$N$2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'NSWOS demersal over 24m'!$D$24:$N$24</c:f>
              <c:numCache>
                <c:formatCode>#,##0.00</c:formatCode>
                <c:ptCount val="11"/>
                <c:pt idx="0">
                  <c:v>0.83233578412132203</c:v>
                </c:pt>
                <c:pt idx="1">
                  <c:v>0.68925126703582795</c:v>
                </c:pt>
                <c:pt idx="2">
                  <c:v>0.53308520098618095</c:v>
                </c:pt>
                <c:pt idx="3">
                  <c:v>0.90529345544909501</c:v>
                </c:pt>
                <c:pt idx="4">
                  <c:v>1.43689005610664</c:v>
                </c:pt>
                <c:pt idx="5">
                  <c:v>1.4041943781017501</c:v>
                </c:pt>
                <c:pt idx="6">
                  <c:v>2.2340404553914501</c:v>
                </c:pt>
                <c:pt idx="7">
                  <c:v>2.3372036855727298</c:v>
                </c:pt>
                <c:pt idx="8">
                  <c:v>2.12804250359408</c:v>
                </c:pt>
                <c:pt idx="9">
                  <c:v>2.3699474651832801</c:v>
                </c:pt>
                <c:pt idx="10">
                  <c:v>1.2507111152190136</c:v>
                </c:pt>
              </c:numCache>
            </c:numRef>
          </c:val>
          <c:smooth val="0"/>
          <c:extLst>
            <c:ext xmlns:c16="http://schemas.microsoft.com/office/drawing/2014/chart" uri="{C3380CC4-5D6E-409C-BE32-E72D297353CC}">
              <c16:uniqueId val="{00000004-4162-4792-94EC-E1F461CC4DCE}"/>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24m'!$A$50</c:f>
          <c:strCache>
            <c:ptCount val="1"/>
            <c:pt idx="0">
              <c:v>Average price per tonne landed (£)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E380-40A2-8548-00F6DF126CDC}"/>
              </c:ext>
            </c:extLst>
          </c:dPt>
          <c:dPt>
            <c:idx val="10"/>
            <c:bubble3D val="0"/>
            <c:spPr>
              <a:ln w="57150">
                <a:solidFill>
                  <a:schemeClr val="accent4"/>
                </a:solidFill>
                <a:prstDash val="sysDot"/>
              </a:ln>
            </c:spPr>
            <c:extLst>
              <c:ext xmlns:c16="http://schemas.microsoft.com/office/drawing/2014/chart" uri="{C3380CC4-5D6E-409C-BE32-E72D297353CC}">
                <c16:uniqueId val="{00000003-E380-40A2-8548-00F6DF126CDC}"/>
              </c:ext>
            </c:extLst>
          </c:dPt>
          <c:cat>
            <c:numRef>
              <c:f>'NSWOS demersal over 24m'!$D$2:$M$2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'NSWOS demersal over 24m'!$D$20:$N$20</c:f>
              <c:numCache>
                <c:formatCode>#,##0</c:formatCode>
                <c:ptCount val="11"/>
                <c:pt idx="0">
                  <c:v>1973</c:v>
                </c:pt>
                <c:pt idx="1">
                  <c:v>2126</c:v>
                </c:pt>
                <c:pt idx="2">
                  <c:v>1843</c:v>
                </c:pt>
                <c:pt idx="3">
                  <c:v>1670</c:v>
                </c:pt>
                <c:pt idx="4">
                  <c:v>1827</c:v>
                </c:pt>
                <c:pt idx="5">
                  <c:v>1774</c:v>
                </c:pt>
                <c:pt idx="6">
                  <c:v>1935</c:v>
                </c:pt>
                <c:pt idx="7">
                  <c:v>2099</c:v>
                </c:pt>
                <c:pt idx="8">
                  <c:v>2131</c:v>
                </c:pt>
                <c:pt idx="9">
                  <c:v>2100</c:v>
                </c:pt>
                <c:pt idx="10">
                  <c:v>1798</c:v>
                </c:pt>
              </c:numCache>
            </c:numRef>
          </c:val>
          <c:smooth val="0"/>
          <c:extLst>
            <c:ext xmlns:c16="http://schemas.microsoft.com/office/drawing/2014/chart" uri="{C3380CC4-5D6E-409C-BE32-E72D297353CC}">
              <c16:uniqueId val="{00000004-E380-40A2-8548-00F6DF126CDC}"/>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24m'!$K$62</c:f>
          <c:strCache>
            <c:ptCount val="1"/>
            <c:pt idx="0">
              <c:v>Average annual operating profit per vessel (£'000)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57C3-4AD8-97CC-C5C54F927868}"/>
              </c:ext>
            </c:extLst>
          </c:dPt>
          <c:dPt>
            <c:idx val="10"/>
            <c:bubble3D val="0"/>
            <c:spPr>
              <a:ln w="57150">
                <a:solidFill>
                  <a:schemeClr val="accent5"/>
                </a:solidFill>
                <a:prstDash val="sysDot"/>
              </a:ln>
            </c:spPr>
            <c:extLst>
              <c:ext xmlns:c16="http://schemas.microsoft.com/office/drawing/2014/chart" uri="{C3380CC4-5D6E-409C-BE32-E72D297353CC}">
                <c16:uniqueId val="{00000003-57C3-4AD8-97CC-C5C54F927868}"/>
              </c:ext>
            </c:extLst>
          </c:dPt>
          <c:cat>
            <c:numRef>
              <c:f>'NSWOS demersal over 24m'!$D$2:$M$2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'NSWOS demersal over 24m'!$D$37:$N$37</c:f>
              <c:numCache>
                <c:formatCode>#,##0.0</c:formatCode>
                <c:ptCount val="11"/>
                <c:pt idx="0">
                  <c:v>168.2</c:v>
                </c:pt>
                <c:pt idx="1">
                  <c:v>143.4</c:v>
                </c:pt>
                <c:pt idx="2">
                  <c:v>98</c:v>
                </c:pt>
                <c:pt idx="3">
                  <c:v>142.9</c:v>
                </c:pt>
                <c:pt idx="4">
                  <c:v>271</c:v>
                </c:pt>
                <c:pt idx="5">
                  <c:v>252.1</c:v>
                </c:pt>
                <c:pt idx="6">
                  <c:v>408.2</c:v>
                </c:pt>
                <c:pt idx="7">
                  <c:v>402</c:v>
                </c:pt>
                <c:pt idx="8">
                  <c:v>405.5</c:v>
                </c:pt>
                <c:pt idx="9">
                  <c:v>438.8</c:v>
                </c:pt>
                <c:pt idx="10">
                  <c:v>199.20000000000002</c:v>
                </c:pt>
              </c:numCache>
            </c:numRef>
          </c:val>
          <c:smooth val="0"/>
          <c:extLst>
            <c:ext xmlns:c16="http://schemas.microsoft.com/office/drawing/2014/chart" uri="{C3380CC4-5D6E-409C-BE32-E72D297353CC}">
              <c16:uniqueId val="{00000004-57C3-4AD8-97CC-C5C54F927868}"/>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over 24m'!$A$76</c:f>
          <c:strCache>
            <c:ptCount val="1"/>
            <c:pt idx="0">
              <c:v>Top 5 landed species by volume in 2019
NSWOS demersal over 24m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4069-4FE3-922E-5C1BAC0F63A6}"/>
              </c:ext>
            </c:extLst>
          </c:dPt>
          <c:dPt>
            <c:idx val="1"/>
            <c:bubble3D val="0"/>
            <c:spPr>
              <a:solidFill>
                <a:srgbClr val="C1D119"/>
              </a:solidFill>
              <a:ln>
                <a:solidFill>
                  <a:srgbClr val="FFFFFF"/>
                </a:solidFill>
              </a:ln>
            </c:spPr>
            <c:extLst>
              <c:ext xmlns:c16="http://schemas.microsoft.com/office/drawing/2014/chart" uri="{C3380CC4-5D6E-409C-BE32-E72D297353CC}">
                <c16:uniqueId val="{00000003-4069-4FE3-922E-5C1BAC0F63A6}"/>
              </c:ext>
            </c:extLst>
          </c:dPt>
          <c:dPt>
            <c:idx val="2"/>
            <c:bubble3D val="0"/>
            <c:spPr>
              <a:solidFill>
                <a:srgbClr val="E87308"/>
              </a:solidFill>
              <a:ln>
                <a:solidFill>
                  <a:srgbClr val="FFFFFF"/>
                </a:solidFill>
              </a:ln>
            </c:spPr>
            <c:extLst>
              <c:ext xmlns:c16="http://schemas.microsoft.com/office/drawing/2014/chart" uri="{C3380CC4-5D6E-409C-BE32-E72D297353CC}">
                <c16:uniqueId val="{00000005-4069-4FE3-922E-5C1BAC0F63A6}"/>
              </c:ext>
            </c:extLst>
          </c:dPt>
          <c:dPt>
            <c:idx val="3"/>
            <c:bubble3D val="0"/>
            <c:spPr>
              <a:solidFill>
                <a:srgbClr val="648C2E"/>
              </a:solidFill>
              <a:ln>
                <a:solidFill>
                  <a:srgbClr val="FFFFFF"/>
                </a:solidFill>
              </a:ln>
            </c:spPr>
            <c:extLst>
              <c:ext xmlns:c16="http://schemas.microsoft.com/office/drawing/2014/chart" uri="{C3380CC4-5D6E-409C-BE32-E72D297353CC}">
                <c16:uniqueId val="{00000007-4069-4FE3-922E-5C1BAC0F63A6}"/>
              </c:ext>
            </c:extLst>
          </c:dPt>
          <c:dPt>
            <c:idx val="4"/>
            <c:bubble3D val="0"/>
            <c:spPr>
              <a:solidFill>
                <a:srgbClr val="0F9AA9"/>
              </a:solidFill>
              <a:ln>
                <a:solidFill>
                  <a:srgbClr val="FFFFFF"/>
                </a:solidFill>
              </a:ln>
            </c:spPr>
            <c:extLst>
              <c:ext xmlns:c16="http://schemas.microsoft.com/office/drawing/2014/chart" uri="{C3380CC4-5D6E-409C-BE32-E72D297353CC}">
                <c16:uniqueId val="{00000009-4069-4FE3-922E-5C1BAC0F63A6}"/>
              </c:ext>
            </c:extLst>
          </c:dPt>
          <c:dPt>
            <c:idx val="5"/>
            <c:bubble3D val="0"/>
            <c:spPr>
              <a:solidFill>
                <a:srgbClr val="55585A"/>
              </a:solidFill>
              <a:ln>
                <a:solidFill>
                  <a:srgbClr val="FFFFFF"/>
                </a:solidFill>
              </a:ln>
            </c:spPr>
            <c:extLst>
              <c:ext xmlns:c16="http://schemas.microsoft.com/office/drawing/2014/chart" uri="{C3380CC4-5D6E-409C-BE32-E72D297353CC}">
                <c16:uniqueId val="{0000000B-4069-4FE3-922E-5C1BAC0F63A6}"/>
              </c:ext>
            </c:extLst>
          </c:dPt>
          <c:cat>
            <c:strRef>
              <c:f>'NSWOS demersal over 24m'!$B$77:$B$82</c:f>
              <c:strCache>
                <c:ptCount val="6"/>
                <c:pt idx="0">
                  <c:v>Haddock - 28.9%</c:v>
                </c:pt>
                <c:pt idx="1">
                  <c:v>Saithe - 16.2%</c:v>
                </c:pt>
                <c:pt idx="2">
                  <c:v>Cod - 14.3%</c:v>
                </c:pt>
                <c:pt idx="3">
                  <c:v>Anglerfish - 8.5%</c:v>
                </c:pt>
                <c:pt idx="4">
                  <c:v>Whiting - 5.7%</c:v>
                </c:pt>
                <c:pt idx="5">
                  <c:v>Others - 26.5%</c:v>
                </c:pt>
              </c:strCache>
            </c:strRef>
          </c:cat>
          <c:val>
            <c:numRef>
              <c:f>'NSWOS demersal over 24m'!$C$77:$C$82</c:f>
              <c:numCache>
                <c:formatCode>0.0%</c:formatCode>
                <c:ptCount val="6"/>
                <c:pt idx="0">
                  <c:v>0.28877272919575242</c:v>
                </c:pt>
                <c:pt idx="1">
                  <c:v>0.16230812920421372</c:v>
                </c:pt>
                <c:pt idx="2">
                  <c:v>0.14256165122477471</c:v>
                </c:pt>
                <c:pt idx="3">
                  <c:v>8.5332952574353763E-2</c:v>
                </c:pt>
                <c:pt idx="4">
                  <c:v>5.6501417269535052E-2</c:v>
                </c:pt>
                <c:pt idx="5">
                  <c:v>0.26452312053137028</c:v>
                </c:pt>
              </c:numCache>
            </c:numRef>
          </c:val>
          <c:extLst>
            <c:ext xmlns:c16="http://schemas.microsoft.com/office/drawing/2014/chart" uri="{C3380CC4-5D6E-409C-BE32-E72D297353CC}">
              <c16:uniqueId val="{0000000C-4069-4FE3-922E-5C1BAC0F63A6}"/>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over 24m'!$F$76</c:f>
          <c:strCache>
            <c:ptCount val="1"/>
            <c:pt idx="0">
              <c:v>Top 5 landed species by value in 2019
NSWOS demersal over 24m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4663-490A-ADF1-AD19324F3A93}"/>
              </c:ext>
            </c:extLst>
          </c:dPt>
          <c:dPt>
            <c:idx val="1"/>
            <c:bubble3D val="0"/>
            <c:spPr>
              <a:solidFill>
                <a:srgbClr val="E87308"/>
              </a:solidFill>
              <a:ln>
                <a:solidFill>
                  <a:srgbClr val="FFFFFF"/>
                </a:solidFill>
              </a:ln>
            </c:spPr>
            <c:extLst>
              <c:ext xmlns:c16="http://schemas.microsoft.com/office/drawing/2014/chart" uri="{C3380CC4-5D6E-409C-BE32-E72D297353CC}">
                <c16:uniqueId val="{00000003-4663-490A-ADF1-AD19324F3A93}"/>
              </c:ext>
            </c:extLst>
          </c:dPt>
          <c:dPt>
            <c:idx val="2"/>
            <c:bubble3D val="0"/>
            <c:spPr>
              <a:solidFill>
                <a:srgbClr val="648C2E"/>
              </a:solidFill>
              <a:ln>
                <a:solidFill>
                  <a:srgbClr val="FFFFFF"/>
                </a:solidFill>
              </a:ln>
            </c:spPr>
            <c:extLst>
              <c:ext xmlns:c16="http://schemas.microsoft.com/office/drawing/2014/chart" uri="{C3380CC4-5D6E-409C-BE32-E72D297353CC}">
                <c16:uniqueId val="{00000005-4663-490A-ADF1-AD19324F3A93}"/>
              </c:ext>
            </c:extLst>
          </c:dPt>
          <c:dPt>
            <c:idx val="3"/>
            <c:bubble3D val="0"/>
            <c:spPr>
              <a:solidFill>
                <a:srgbClr val="C1D119"/>
              </a:solidFill>
              <a:ln>
                <a:solidFill>
                  <a:srgbClr val="FFFFFF"/>
                </a:solidFill>
              </a:ln>
            </c:spPr>
            <c:extLst>
              <c:ext xmlns:c16="http://schemas.microsoft.com/office/drawing/2014/chart" uri="{C3380CC4-5D6E-409C-BE32-E72D297353CC}">
                <c16:uniqueId val="{00000007-4663-490A-ADF1-AD19324F3A93}"/>
              </c:ext>
            </c:extLst>
          </c:dPt>
          <c:dPt>
            <c:idx val="4"/>
            <c:bubble3D val="0"/>
            <c:spPr>
              <a:solidFill>
                <a:srgbClr val="E84A38"/>
              </a:solidFill>
              <a:ln>
                <a:solidFill>
                  <a:srgbClr val="FFFFFF"/>
                </a:solidFill>
              </a:ln>
            </c:spPr>
            <c:extLst>
              <c:ext xmlns:c16="http://schemas.microsoft.com/office/drawing/2014/chart" uri="{C3380CC4-5D6E-409C-BE32-E72D297353CC}">
                <c16:uniqueId val="{00000009-4663-490A-ADF1-AD19324F3A93}"/>
              </c:ext>
            </c:extLst>
          </c:dPt>
          <c:dPt>
            <c:idx val="5"/>
            <c:bubble3D val="0"/>
            <c:spPr>
              <a:solidFill>
                <a:srgbClr val="55585A"/>
              </a:solidFill>
              <a:ln>
                <a:solidFill>
                  <a:srgbClr val="FFFFFF"/>
                </a:solidFill>
              </a:ln>
            </c:spPr>
            <c:extLst>
              <c:ext xmlns:c16="http://schemas.microsoft.com/office/drawing/2014/chart" uri="{C3380CC4-5D6E-409C-BE32-E72D297353CC}">
                <c16:uniqueId val="{0000000B-4663-490A-ADF1-AD19324F3A93}"/>
              </c:ext>
            </c:extLst>
          </c:dPt>
          <c:cat>
            <c:strRef>
              <c:f>'NSWOS demersal over 24m'!$G$77:$G$82</c:f>
              <c:strCache>
                <c:ptCount val="6"/>
                <c:pt idx="0">
                  <c:v>Haddock - 23.6%</c:v>
                </c:pt>
                <c:pt idx="1">
                  <c:v>Cod - 20.7%</c:v>
                </c:pt>
                <c:pt idx="2">
                  <c:v>Anglerfish - 14.5%</c:v>
                </c:pt>
                <c:pt idx="3">
                  <c:v>Saithe - 7.9%</c:v>
                </c:pt>
                <c:pt idx="4">
                  <c:v>Squid - 5.2%</c:v>
                </c:pt>
                <c:pt idx="5">
                  <c:v>Others - 28.2%</c:v>
                </c:pt>
              </c:strCache>
            </c:strRef>
          </c:cat>
          <c:val>
            <c:numRef>
              <c:f>'NSWOS demersal over 24m'!$H$77:$H$82</c:f>
              <c:numCache>
                <c:formatCode>0.0%</c:formatCode>
                <c:ptCount val="6"/>
                <c:pt idx="0">
                  <c:v>0.23597251989783991</c:v>
                </c:pt>
                <c:pt idx="1">
                  <c:v>0.20665207236849292</c:v>
                </c:pt>
                <c:pt idx="2">
                  <c:v>0.14483381507625959</c:v>
                </c:pt>
                <c:pt idx="3">
                  <c:v>7.8924085616969591E-2</c:v>
                </c:pt>
                <c:pt idx="4">
                  <c:v>5.1984835475505392E-2</c:v>
                </c:pt>
                <c:pt idx="5">
                  <c:v>0.28163267156493266</c:v>
                </c:pt>
              </c:numCache>
            </c:numRef>
          </c:val>
          <c:extLst>
            <c:ext xmlns:c16="http://schemas.microsoft.com/office/drawing/2014/chart" uri="{C3380CC4-5D6E-409C-BE32-E72D297353CC}">
              <c16:uniqueId val="{0000000C-4663-490A-ADF1-AD19324F3A93}"/>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over 24m'!$K$77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demersal over 24m'!$C$92</c:f>
              <c:strCache>
                <c:ptCount val="1"/>
                <c:pt idx="0">
                  <c:v>Haddock</c:v>
                </c:pt>
              </c:strCache>
            </c:strRef>
          </c:tx>
          <c:spPr>
            <a:solidFill>
              <a:srgbClr val="2273B9"/>
            </a:solidFill>
            <a:ln>
              <a:solidFill>
                <a:srgbClr val="FFFFFF"/>
              </a:solidFill>
            </a:ln>
          </c:spPr>
          <c:invertIfNegative val="0"/>
          <c:cat>
            <c:numRef>
              <c:f>'NSWOS demersal over 24m'!$D$91:$M$91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over 24m'!$D$92:$M$92</c:f>
              <c:numCache>
                <c:formatCode>0%</c:formatCode>
                <c:ptCount val="10"/>
                <c:pt idx="0">
                  <c:v>0.16738124454804768</c:v>
                </c:pt>
                <c:pt idx="1">
                  <c:v>0.19798689766772579</c:v>
                </c:pt>
                <c:pt idx="2">
                  <c:v>0.24304332353727076</c:v>
                </c:pt>
                <c:pt idx="3">
                  <c:v>0.24994934063747604</c:v>
                </c:pt>
                <c:pt idx="4">
                  <c:v>0.23322583392535906</c:v>
                </c:pt>
                <c:pt idx="5">
                  <c:v>0.20905459721103339</c:v>
                </c:pt>
                <c:pt idx="6">
                  <c:v>0.22255857074776644</c:v>
                </c:pt>
                <c:pt idx="7">
                  <c:v>0.21072709084445845</c:v>
                </c:pt>
                <c:pt idx="8">
                  <c:v>0.23597251989783991</c:v>
                </c:pt>
                <c:pt idx="9">
                  <c:v>0.21742000469725084</c:v>
                </c:pt>
              </c:numCache>
            </c:numRef>
          </c:val>
          <c:extLst>
            <c:ext xmlns:c16="http://schemas.microsoft.com/office/drawing/2014/chart" uri="{C3380CC4-5D6E-409C-BE32-E72D297353CC}">
              <c16:uniqueId val="{00000000-3D05-407C-8F06-4A9FC1A15F1E}"/>
            </c:ext>
          </c:extLst>
        </c:ser>
        <c:ser>
          <c:idx val="1"/>
          <c:order val="1"/>
          <c:tx>
            <c:strRef>
              <c:f>'NSWOS demersal over 24m'!$C$93</c:f>
              <c:strCache>
                <c:ptCount val="1"/>
                <c:pt idx="0">
                  <c:v>Cod</c:v>
                </c:pt>
              </c:strCache>
            </c:strRef>
          </c:tx>
          <c:spPr>
            <a:solidFill>
              <a:srgbClr val="E87308"/>
            </a:solidFill>
            <a:ln>
              <a:solidFill>
                <a:srgbClr val="FFFFFF"/>
              </a:solidFill>
            </a:ln>
          </c:spPr>
          <c:invertIfNegative val="0"/>
          <c:cat>
            <c:numRef>
              <c:f>'NSWOS demersal over 24m'!$D$91:$M$91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over 24m'!$D$93:$M$93</c:f>
              <c:numCache>
                <c:formatCode>0%</c:formatCode>
                <c:ptCount val="10"/>
                <c:pt idx="0">
                  <c:v>0.13758252475728117</c:v>
                </c:pt>
                <c:pt idx="1">
                  <c:v>0.12929680107125799</c:v>
                </c:pt>
                <c:pt idx="2">
                  <c:v>0.162276433221268</c:v>
                </c:pt>
                <c:pt idx="3">
                  <c:v>0.15373297660369384</c:v>
                </c:pt>
                <c:pt idx="4">
                  <c:v>0.14857824799557004</c:v>
                </c:pt>
                <c:pt idx="5">
                  <c:v>0.14834474945186052</c:v>
                </c:pt>
                <c:pt idx="6">
                  <c:v>0.17890482769234956</c:v>
                </c:pt>
                <c:pt idx="7">
                  <c:v>0.20565650666950094</c:v>
                </c:pt>
                <c:pt idx="8">
                  <c:v>0.20665207236849292</c:v>
                </c:pt>
                <c:pt idx="9">
                  <c:v>0.17846232543290783</c:v>
                </c:pt>
              </c:numCache>
            </c:numRef>
          </c:val>
          <c:extLst>
            <c:ext xmlns:c16="http://schemas.microsoft.com/office/drawing/2014/chart" uri="{C3380CC4-5D6E-409C-BE32-E72D297353CC}">
              <c16:uniqueId val="{00000001-3D05-407C-8F06-4A9FC1A15F1E}"/>
            </c:ext>
          </c:extLst>
        </c:ser>
        <c:ser>
          <c:idx val="2"/>
          <c:order val="2"/>
          <c:tx>
            <c:strRef>
              <c:f>'NSWOS demersal over 24m'!$C$94</c:f>
              <c:strCache>
                <c:ptCount val="1"/>
                <c:pt idx="0">
                  <c:v>Anglerfish</c:v>
                </c:pt>
              </c:strCache>
            </c:strRef>
          </c:tx>
          <c:spPr>
            <a:solidFill>
              <a:srgbClr val="648C2E"/>
            </a:solidFill>
            <a:ln>
              <a:solidFill>
                <a:srgbClr val="FFFFFF"/>
              </a:solidFill>
            </a:ln>
          </c:spPr>
          <c:invertIfNegative val="0"/>
          <c:cat>
            <c:numRef>
              <c:f>'NSWOS demersal over 24m'!$D$91:$M$91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over 24m'!$D$94:$M$94</c:f>
              <c:numCache>
                <c:formatCode>0%</c:formatCode>
                <c:ptCount val="10"/>
                <c:pt idx="0">
                  <c:v>0.17681872222768041</c:v>
                </c:pt>
                <c:pt idx="1">
                  <c:v>0.13380629787140297</c:v>
                </c:pt>
                <c:pt idx="2">
                  <c:v>0.10616418440418927</c:v>
                </c:pt>
                <c:pt idx="3">
                  <c:v>0.13414287616751405</c:v>
                </c:pt>
                <c:pt idx="4">
                  <c:v>0.14639623999862306</c:v>
                </c:pt>
                <c:pt idx="5">
                  <c:v>0.16599606278083104</c:v>
                </c:pt>
                <c:pt idx="6">
                  <c:v>0.16952531131681894</c:v>
                </c:pt>
                <c:pt idx="7">
                  <c:v>0.16472339753043957</c:v>
                </c:pt>
                <c:pt idx="8">
                  <c:v>0.14483381507625959</c:v>
                </c:pt>
                <c:pt idx="9">
                  <c:v>0.1848709615205488</c:v>
                </c:pt>
              </c:numCache>
            </c:numRef>
          </c:val>
          <c:extLst>
            <c:ext xmlns:c16="http://schemas.microsoft.com/office/drawing/2014/chart" uri="{C3380CC4-5D6E-409C-BE32-E72D297353CC}">
              <c16:uniqueId val="{00000002-3D05-407C-8F06-4A9FC1A15F1E}"/>
            </c:ext>
          </c:extLst>
        </c:ser>
        <c:ser>
          <c:idx val="3"/>
          <c:order val="3"/>
          <c:tx>
            <c:strRef>
              <c:f>'NSWOS demersal over 24m'!$C$95</c:f>
              <c:strCache>
                <c:ptCount val="1"/>
                <c:pt idx="0">
                  <c:v>Saithe</c:v>
                </c:pt>
              </c:strCache>
            </c:strRef>
          </c:tx>
          <c:spPr>
            <a:solidFill>
              <a:srgbClr val="C1D119"/>
            </a:solidFill>
            <a:ln>
              <a:solidFill>
                <a:srgbClr val="FFFFFF"/>
              </a:solidFill>
            </a:ln>
          </c:spPr>
          <c:invertIfNegative val="0"/>
          <c:cat>
            <c:numRef>
              <c:f>'NSWOS demersal over 24m'!$D$91:$M$91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over 24m'!$D$95:$M$95</c:f>
              <c:numCache>
                <c:formatCode>0%</c:formatCode>
                <c:ptCount val="10"/>
                <c:pt idx="0">
                  <c:v>0.14799098587185736</c:v>
                </c:pt>
                <c:pt idx="1">
                  <c:v>0.14016570302181269</c:v>
                </c:pt>
                <c:pt idx="2">
                  <c:v>0.12064683341801762</c:v>
                </c:pt>
                <c:pt idx="3">
                  <c:v>0.11502475555236419</c:v>
                </c:pt>
                <c:pt idx="4">
                  <c:v>0.10082049720664754</c:v>
                </c:pt>
                <c:pt idx="5">
                  <c:v>8.6431302475298483E-2</c:v>
                </c:pt>
                <c:pt idx="6">
                  <c:v>6.8785045395454922E-2</c:v>
                </c:pt>
                <c:pt idx="7">
                  <c:v>6.280002205320076E-2</c:v>
                </c:pt>
                <c:pt idx="8">
                  <c:v>7.8924085616969591E-2</c:v>
                </c:pt>
                <c:pt idx="9">
                  <c:v>7.7927219215904384E-2</c:v>
                </c:pt>
              </c:numCache>
            </c:numRef>
          </c:val>
          <c:extLst>
            <c:ext xmlns:c16="http://schemas.microsoft.com/office/drawing/2014/chart" uri="{C3380CC4-5D6E-409C-BE32-E72D297353CC}">
              <c16:uniqueId val="{00000003-3D05-407C-8F06-4A9FC1A15F1E}"/>
            </c:ext>
          </c:extLst>
        </c:ser>
        <c:ser>
          <c:idx val="4"/>
          <c:order val="4"/>
          <c:tx>
            <c:strRef>
              <c:f>'NSWOS demersal over 24m'!$C$96</c:f>
              <c:strCache>
                <c:ptCount val="1"/>
                <c:pt idx="0">
                  <c:v>Squid</c:v>
                </c:pt>
              </c:strCache>
            </c:strRef>
          </c:tx>
          <c:spPr>
            <a:solidFill>
              <a:srgbClr val="E84A38"/>
            </a:solidFill>
            <a:ln>
              <a:solidFill>
                <a:srgbClr val="FFFFFF"/>
              </a:solidFill>
            </a:ln>
          </c:spPr>
          <c:invertIfNegative val="0"/>
          <c:cat>
            <c:numRef>
              <c:f>'NSWOS demersal over 24m'!$D$91:$M$91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over 24m'!$D$96:$M$96</c:f>
              <c:numCache>
                <c:formatCode>0%</c:formatCode>
                <c:ptCount val="10"/>
                <c:pt idx="8">
                  <c:v>5.1984835475505392E-2</c:v>
                </c:pt>
              </c:numCache>
            </c:numRef>
          </c:val>
          <c:extLst>
            <c:ext xmlns:c16="http://schemas.microsoft.com/office/drawing/2014/chart" uri="{C3380CC4-5D6E-409C-BE32-E72D297353CC}">
              <c16:uniqueId val="{00000004-3D05-407C-8F06-4A9FC1A15F1E}"/>
            </c:ext>
          </c:extLst>
        </c:ser>
        <c:ser>
          <c:idx val="5"/>
          <c:order val="5"/>
          <c:tx>
            <c:strRef>
              <c:f>'NSWOS demersal over 24m'!$C$97</c:f>
              <c:strCache>
                <c:ptCount val="1"/>
                <c:pt idx="0">
                  <c:v>Whiting</c:v>
                </c:pt>
              </c:strCache>
            </c:strRef>
          </c:tx>
          <c:spPr>
            <a:solidFill>
              <a:srgbClr val="0F9AA9"/>
            </a:solidFill>
            <a:ln>
              <a:solidFill>
                <a:srgbClr val="FFFFFF"/>
              </a:solidFill>
            </a:ln>
          </c:spPr>
          <c:invertIfNegative val="0"/>
          <c:cat>
            <c:numRef>
              <c:f>'NSWOS demersal over 24m'!$D$91:$M$91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over 24m'!$D$97:$M$97</c:f>
              <c:numCache>
                <c:formatCode>0%</c:formatCode>
                <c:ptCount val="10"/>
                <c:pt idx="9">
                  <c:v>5.337274624397078E-2</c:v>
                </c:pt>
              </c:numCache>
            </c:numRef>
          </c:val>
          <c:extLst>
            <c:ext xmlns:c16="http://schemas.microsoft.com/office/drawing/2014/chart" uri="{C3380CC4-5D6E-409C-BE32-E72D297353CC}">
              <c16:uniqueId val="{00000005-3D05-407C-8F06-4A9FC1A15F1E}"/>
            </c:ext>
          </c:extLst>
        </c:ser>
        <c:ser>
          <c:idx val="6"/>
          <c:order val="6"/>
          <c:tx>
            <c:strRef>
              <c:f>'NSWOS demersal over 24m'!$C$98</c:f>
              <c:strCache>
                <c:ptCount val="1"/>
                <c:pt idx="0">
                  <c:v>Plaice</c:v>
                </c:pt>
              </c:strCache>
            </c:strRef>
          </c:tx>
          <c:spPr>
            <a:solidFill>
              <a:srgbClr val="FED825"/>
            </a:solidFill>
            <a:ln>
              <a:solidFill>
                <a:srgbClr val="FFFFFF"/>
              </a:solidFill>
            </a:ln>
          </c:spPr>
          <c:invertIfNegative val="0"/>
          <c:cat>
            <c:numRef>
              <c:f>'NSWOS demersal over 24m'!$D$91:$M$91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over 24m'!$D$98:$M$98</c:f>
              <c:numCache>
                <c:formatCode>0%</c:formatCode>
                <c:ptCount val="10"/>
                <c:pt idx="0">
                  <c:v>8.5444979776301583E-2</c:v>
                </c:pt>
                <c:pt idx="1">
                  <c:v>0.12076799805785675</c:v>
                </c:pt>
                <c:pt idx="2">
                  <c:v>8.6015902398037164E-2</c:v>
                </c:pt>
                <c:pt idx="3">
                  <c:v>7.4115019053803938E-2</c:v>
                </c:pt>
                <c:pt idx="4">
                  <c:v>9.779992705768259E-2</c:v>
                </c:pt>
                <c:pt idx="5">
                  <c:v>0.11642605102331076</c:v>
                </c:pt>
                <c:pt idx="6">
                  <c:v>9.3980744326076157E-2</c:v>
                </c:pt>
                <c:pt idx="7">
                  <c:v>8.5725627929065129E-2</c:v>
                </c:pt>
              </c:numCache>
            </c:numRef>
          </c:val>
          <c:extLst>
            <c:ext xmlns:c16="http://schemas.microsoft.com/office/drawing/2014/chart" uri="{C3380CC4-5D6E-409C-BE32-E72D297353CC}">
              <c16:uniqueId val="{00000006-3D05-407C-8F06-4A9FC1A15F1E}"/>
            </c:ext>
          </c:extLst>
        </c:ser>
        <c:ser>
          <c:idx val="7"/>
          <c:order val="7"/>
          <c:tx>
            <c:strRef>
              <c:f>'NSWOS demersal over 24m'!$C$99</c:f>
              <c:strCache>
                <c:ptCount val="1"/>
                <c:pt idx="0">
                  <c:v>Others</c:v>
                </c:pt>
              </c:strCache>
            </c:strRef>
          </c:tx>
          <c:spPr>
            <a:solidFill>
              <a:srgbClr val="55585A"/>
            </a:solidFill>
            <a:ln>
              <a:solidFill>
                <a:srgbClr val="FFFFFF"/>
              </a:solidFill>
            </a:ln>
          </c:spPr>
          <c:invertIfNegative val="0"/>
          <c:cat>
            <c:numRef>
              <c:f>'NSWOS demersal over 24m'!$D$91:$M$91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over 24m'!$D$99:$M$99</c:f>
              <c:numCache>
                <c:formatCode>0%</c:formatCode>
                <c:ptCount val="10"/>
                <c:pt idx="0">
                  <c:v>0.28478154281883183</c:v>
                </c:pt>
                <c:pt idx="1">
                  <c:v>0.27797630230994386</c:v>
                </c:pt>
                <c:pt idx="2">
                  <c:v>0.28185332302121718</c:v>
                </c:pt>
                <c:pt idx="3">
                  <c:v>0.27303503198514795</c:v>
                </c:pt>
                <c:pt idx="4">
                  <c:v>0.27317925381611768</c:v>
                </c:pt>
                <c:pt idx="5">
                  <c:v>0.27374723705766579</c:v>
                </c:pt>
                <c:pt idx="6">
                  <c:v>0.26624550052153395</c:v>
                </c:pt>
                <c:pt idx="7">
                  <c:v>0.27036735497333514</c:v>
                </c:pt>
                <c:pt idx="8">
                  <c:v>0.2816326715649326</c:v>
                </c:pt>
                <c:pt idx="9">
                  <c:v>0.28794674288941735</c:v>
                </c:pt>
              </c:numCache>
            </c:numRef>
          </c:val>
          <c:extLst>
            <c:ext xmlns:c16="http://schemas.microsoft.com/office/drawing/2014/chart" uri="{C3380CC4-5D6E-409C-BE32-E72D297353CC}">
              <c16:uniqueId val="{00000007-3D05-407C-8F06-4A9FC1A15F1E}"/>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'NSWOS demersal over 24m'!$B$162</c:f>
              <c:strCache>
                <c:ptCount val="1"/>
                <c:pt idx="0">
                  <c:v>Haddock</c:v>
                </c:pt>
              </c:strCache>
            </c:strRef>
          </c:tx>
          <c:spPr>
            <a:solidFill>
              <a:srgbClr val="2273B9"/>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24m'!$C$162:$E$162</c:f>
              <c:numCache>
                <c:formatCode>0%</c:formatCode>
                <c:ptCount val="3"/>
                <c:pt idx="0">
                  <c:v>0.40959889940949523</c:v>
                </c:pt>
                <c:pt idx="1">
                  <c:v>0.28373431342962857</c:v>
                </c:pt>
                <c:pt idx="2">
                  <c:v>5.6118568438012696E-2</c:v>
                </c:pt>
              </c:numCache>
            </c:numRef>
          </c:val>
          <c:extLst>
            <c:ext xmlns:c16="http://schemas.microsoft.com/office/drawing/2014/chart" uri="{C3380CC4-5D6E-409C-BE32-E72D297353CC}">
              <c16:uniqueId val="{00000000-341A-442F-941D-66B66CCF6BE9}"/>
            </c:ext>
          </c:extLst>
        </c:ser>
        <c:ser>
          <c:idx val="1"/>
          <c:order val="1"/>
          <c:tx>
            <c:strRef>
              <c:f>'NSWOS demersal over 24m'!$B$163</c:f>
              <c:strCache>
                <c:ptCount val="1"/>
                <c:pt idx="0">
                  <c:v>Cod</c:v>
                </c:pt>
              </c:strCache>
            </c:strRef>
          </c:tx>
          <c:spPr>
            <a:solidFill>
              <a:srgbClr val="E87308"/>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24m'!$C$163:$E$163</c:f>
              <c:numCache>
                <c:formatCode>0%</c:formatCode>
                <c:ptCount val="3"/>
                <c:pt idx="0">
                  <c:v>0.15895791283033109</c:v>
                </c:pt>
                <c:pt idx="1">
                  <c:v>0.17065098065759596</c:v>
                </c:pt>
                <c:pt idx="2">
                  <c:v>5.5129986477040961E-2</c:v>
                </c:pt>
              </c:numCache>
            </c:numRef>
          </c:val>
          <c:extLst>
            <c:ext xmlns:c16="http://schemas.microsoft.com/office/drawing/2014/chart" uri="{C3380CC4-5D6E-409C-BE32-E72D297353CC}">
              <c16:uniqueId val="{00000001-341A-442F-941D-66B66CCF6BE9}"/>
            </c:ext>
          </c:extLst>
        </c:ser>
        <c:ser>
          <c:idx val="2"/>
          <c:order val="2"/>
          <c:tx>
            <c:strRef>
              <c:f>'NSWOS demersal over 24m'!$B$164</c:f>
              <c:strCache>
                <c:ptCount val="1"/>
                <c:pt idx="0">
                  <c:v>Saithe</c:v>
                </c:pt>
              </c:strCache>
            </c:strRef>
          </c:tx>
          <c:spPr>
            <a:solidFill>
              <a:srgbClr val="C1D119"/>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24m'!$C$164:$E$164</c:f>
              <c:numCache>
                <c:formatCode>0%</c:formatCode>
                <c:ptCount val="3"/>
                <c:pt idx="0">
                  <c:v>0.11604067103964756</c:v>
                </c:pt>
                <c:pt idx="1">
                  <c:v>0.16246118949711699</c:v>
                </c:pt>
                <c:pt idx="2">
                  <c:v>0.31143407129782202</c:v>
                </c:pt>
              </c:numCache>
            </c:numRef>
          </c:val>
          <c:extLst>
            <c:ext xmlns:c16="http://schemas.microsoft.com/office/drawing/2014/chart" uri="{C3380CC4-5D6E-409C-BE32-E72D297353CC}">
              <c16:uniqueId val="{00000002-341A-442F-941D-66B66CCF6BE9}"/>
            </c:ext>
          </c:extLst>
        </c:ser>
        <c:ser>
          <c:idx val="3"/>
          <c:order val="3"/>
          <c:tx>
            <c:strRef>
              <c:f>'NSWOS demersal over 24m'!$B$165</c:f>
              <c:strCache>
                <c:ptCount val="1"/>
                <c:pt idx="0">
                  <c:v>Anglerfish</c:v>
                </c:pt>
              </c:strCache>
            </c:strRef>
          </c:tx>
          <c:spPr>
            <a:solidFill>
              <a:srgbClr val="648C2E"/>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24m'!$C$165:$E$165</c:f>
              <c:numCache>
                <c:formatCode>0%</c:formatCode>
                <c:ptCount val="3"/>
                <c:pt idx="0">
                  <c:v>7.7599734443436222E-2</c:v>
                </c:pt>
                <c:pt idx="1">
                  <c:v>0.11958774144099413</c:v>
                </c:pt>
                <c:pt idx="2">
                  <c:v>0</c:v>
                </c:pt>
              </c:numCache>
            </c:numRef>
          </c:val>
          <c:extLst>
            <c:ext xmlns:c16="http://schemas.microsoft.com/office/drawing/2014/chart" uri="{C3380CC4-5D6E-409C-BE32-E72D297353CC}">
              <c16:uniqueId val="{00000003-341A-442F-941D-66B66CCF6BE9}"/>
            </c:ext>
          </c:extLst>
        </c:ser>
        <c:ser>
          <c:idx val="4"/>
          <c:order val="4"/>
          <c:tx>
            <c:strRef>
              <c:f>'NSWOS demersal over 24m'!$B$166</c:f>
              <c:strCache>
                <c:ptCount val="1"/>
                <c:pt idx="0">
                  <c:v>Ling</c:v>
                </c:pt>
              </c:strCache>
            </c:strRef>
          </c:tx>
          <c:spPr>
            <a:solidFill>
              <a:srgbClr val="FED825"/>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24m'!$C$166:$E$166</c:f>
              <c:numCache>
                <c:formatCode>0%</c:formatCode>
                <c:ptCount val="3"/>
                <c:pt idx="0">
                  <c:v>5.6915130523202108E-2</c:v>
                </c:pt>
                <c:pt idx="1">
                  <c:v>6.5090120606638241E-2</c:v>
                </c:pt>
                <c:pt idx="2">
                  <c:v>0</c:v>
                </c:pt>
              </c:numCache>
            </c:numRef>
          </c:val>
          <c:extLst>
            <c:ext xmlns:c16="http://schemas.microsoft.com/office/drawing/2014/chart" uri="{C3380CC4-5D6E-409C-BE32-E72D297353CC}">
              <c16:uniqueId val="{00000004-341A-442F-941D-66B66CCF6BE9}"/>
            </c:ext>
          </c:extLst>
        </c:ser>
        <c:ser>
          <c:idx val="5"/>
          <c:order val="5"/>
          <c:tx>
            <c:strRef>
              <c:f>'NSWOS demersal over 24m'!$B$167</c:f>
              <c:strCache>
                <c:ptCount val="1"/>
                <c:pt idx="0">
                  <c:v>Plaice</c:v>
                </c:pt>
              </c:strCache>
            </c:strRef>
          </c:tx>
          <c:spPr>
            <a:solidFill>
              <a:srgbClr val="707271"/>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24m'!$C$167:$E$167</c:f>
              <c:numCache>
                <c:formatCode>0%</c:formatCode>
                <c:ptCount val="3"/>
                <c:pt idx="0">
                  <c:v>0</c:v>
                </c:pt>
                <c:pt idx="1">
                  <c:v>0</c:v>
                </c:pt>
                <c:pt idx="2">
                  <c:v>0.22742881614841054</c:v>
                </c:pt>
              </c:numCache>
            </c:numRef>
          </c:val>
          <c:extLst>
            <c:ext xmlns:c16="http://schemas.microsoft.com/office/drawing/2014/chart" uri="{C3380CC4-5D6E-409C-BE32-E72D297353CC}">
              <c16:uniqueId val="{00000005-341A-442F-941D-66B66CCF6BE9}"/>
            </c:ext>
          </c:extLst>
        </c:ser>
        <c:ser>
          <c:idx val="6"/>
          <c:order val="6"/>
          <c:tx>
            <c:strRef>
              <c:f>'NSWOS demersal over 24m'!$B$168</c:f>
              <c:strCache>
                <c:ptCount val="1"/>
                <c:pt idx="0">
                  <c:v>Whiting</c:v>
                </c:pt>
              </c:strCache>
            </c:strRef>
          </c:tx>
          <c:spPr>
            <a:solidFill>
              <a:srgbClr val="0F9AA9"/>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24m'!$C$168:$E$168</c:f>
              <c:numCache>
                <c:formatCode>0%</c:formatCode>
                <c:ptCount val="3"/>
                <c:pt idx="0">
                  <c:v>0</c:v>
                </c:pt>
                <c:pt idx="1">
                  <c:v>0</c:v>
                </c:pt>
                <c:pt idx="2">
                  <c:v>4.9735167496645971E-2</c:v>
                </c:pt>
              </c:numCache>
            </c:numRef>
          </c:val>
          <c:extLst>
            <c:ext xmlns:c16="http://schemas.microsoft.com/office/drawing/2014/chart" uri="{C3380CC4-5D6E-409C-BE32-E72D297353CC}">
              <c16:uniqueId val="{00000006-341A-442F-941D-66B66CCF6BE9}"/>
            </c:ext>
          </c:extLst>
        </c:ser>
        <c:ser>
          <c:idx val="7"/>
          <c:order val="7"/>
          <c:tx>
            <c:strRef>
              <c:f>'NSWOS demersal over 24m'!$B$169</c:f>
              <c:strCache>
                <c:ptCount val="1"/>
                <c:pt idx="0">
                  <c:v>Others</c:v>
                </c:pt>
              </c:strCache>
            </c:strRef>
          </c:tx>
          <c:spPr>
            <a:solidFill>
              <a:srgbClr val="55585A"/>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24m'!$C$169:$E$169</c:f>
              <c:numCache>
                <c:formatCode>0%</c:formatCode>
                <c:ptCount val="3"/>
                <c:pt idx="0">
                  <c:v>0.18088765175388777</c:v>
                </c:pt>
                <c:pt idx="1">
                  <c:v>0.19847565436802617</c:v>
                </c:pt>
                <c:pt idx="2">
                  <c:v>0.30015339014206788</c:v>
                </c:pt>
              </c:numCache>
            </c:numRef>
          </c:val>
          <c:extLst>
            <c:ext xmlns:c16="http://schemas.microsoft.com/office/drawing/2014/chart" uri="{C3380CC4-5D6E-409C-BE32-E72D297353CC}">
              <c16:uniqueId val="{00000007-341A-442F-941D-66B66CCF6BE9}"/>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'NSWOS demersal over 24m'!$H$162</c:f>
              <c:strCache>
                <c:ptCount val="1"/>
                <c:pt idx="0">
                  <c:v>Cod</c:v>
                </c:pt>
              </c:strCache>
            </c:strRef>
          </c:tx>
          <c:spPr>
            <a:solidFill>
              <a:srgbClr val="E87308"/>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24m'!$I$162:$K$162</c:f>
              <c:numCache>
                <c:formatCode>0%</c:formatCode>
                <c:ptCount val="3"/>
                <c:pt idx="0">
                  <c:v>0.22167648476591706</c:v>
                </c:pt>
                <c:pt idx="1">
                  <c:v>0.25063557568997047</c:v>
                </c:pt>
                <c:pt idx="2">
                  <c:v>8.126889189368193E-2</c:v>
                </c:pt>
              </c:numCache>
            </c:numRef>
          </c:val>
          <c:extLst>
            <c:ext xmlns:c16="http://schemas.microsoft.com/office/drawing/2014/chart" uri="{C3380CC4-5D6E-409C-BE32-E72D297353CC}">
              <c16:uniqueId val="{00000000-B1DC-4E79-ADEB-413D1F315515}"/>
            </c:ext>
          </c:extLst>
        </c:ser>
        <c:ser>
          <c:idx val="1"/>
          <c:order val="1"/>
          <c:tx>
            <c:strRef>
              <c:f>'NSWOS demersal over 24m'!$H$163</c:f>
              <c:strCache>
                <c:ptCount val="1"/>
                <c:pt idx="0">
                  <c:v>Haddock</c:v>
                </c:pt>
              </c:strCache>
            </c:strRef>
          </c:tx>
          <c:spPr>
            <a:solidFill>
              <a:srgbClr val="2273B9"/>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24m'!$I$163:$K$163</c:f>
              <c:numCache>
                <c:formatCode>0%</c:formatCode>
                <c:ptCount val="3"/>
                <c:pt idx="0">
                  <c:v>0.33775710410974868</c:v>
                </c:pt>
                <c:pt idx="1">
                  <c:v>0.21837425572614128</c:v>
                </c:pt>
                <c:pt idx="2">
                  <c:v>0</c:v>
                </c:pt>
              </c:numCache>
            </c:numRef>
          </c:val>
          <c:extLst>
            <c:ext xmlns:c16="http://schemas.microsoft.com/office/drawing/2014/chart" uri="{C3380CC4-5D6E-409C-BE32-E72D297353CC}">
              <c16:uniqueId val="{00000001-B1DC-4E79-ADEB-413D1F315515}"/>
            </c:ext>
          </c:extLst>
        </c:ser>
        <c:ser>
          <c:idx val="2"/>
          <c:order val="2"/>
          <c:tx>
            <c:strRef>
              <c:f>'NSWOS demersal over 24m'!$H$164</c:f>
              <c:strCache>
                <c:ptCount val="1"/>
                <c:pt idx="0">
                  <c:v>Anglerfish</c:v>
                </c:pt>
              </c:strCache>
            </c:strRef>
          </c:tx>
          <c:spPr>
            <a:solidFill>
              <a:srgbClr val="648C2E"/>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24m'!$I$164:$K$164</c:f>
              <c:numCache>
                <c:formatCode>0%</c:formatCode>
                <c:ptCount val="3"/>
                <c:pt idx="0">
                  <c:v>0.12555770179410397</c:v>
                </c:pt>
                <c:pt idx="1">
                  <c:v>0.20543426279310475</c:v>
                </c:pt>
                <c:pt idx="2">
                  <c:v>0</c:v>
                </c:pt>
              </c:numCache>
            </c:numRef>
          </c:val>
          <c:extLst>
            <c:ext xmlns:c16="http://schemas.microsoft.com/office/drawing/2014/chart" uri="{C3380CC4-5D6E-409C-BE32-E72D297353CC}">
              <c16:uniqueId val="{00000002-B1DC-4E79-ADEB-413D1F315515}"/>
            </c:ext>
          </c:extLst>
        </c:ser>
        <c:ser>
          <c:idx val="3"/>
          <c:order val="3"/>
          <c:tx>
            <c:strRef>
              <c:f>'NSWOS demersal over 24m'!$H$165</c:f>
              <c:strCache>
                <c:ptCount val="1"/>
                <c:pt idx="0">
                  <c:v>Saithe</c:v>
                </c:pt>
              </c:strCache>
            </c:strRef>
          </c:tx>
          <c:spPr>
            <a:solidFill>
              <a:srgbClr val="C1D119"/>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24m'!$I$165:$K$165</c:f>
              <c:numCache>
                <c:formatCode>0%</c:formatCode>
                <c:ptCount val="3"/>
                <c:pt idx="0">
                  <c:v>6.1745948163111013E-2</c:v>
                </c:pt>
                <c:pt idx="1">
                  <c:v>7.8693548131976682E-2</c:v>
                </c:pt>
                <c:pt idx="2">
                  <c:v>0.15169748751778472</c:v>
                </c:pt>
              </c:numCache>
            </c:numRef>
          </c:val>
          <c:extLst>
            <c:ext xmlns:c16="http://schemas.microsoft.com/office/drawing/2014/chart" uri="{C3380CC4-5D6E-409C-BE32-E72D297353CC}">
              <c16:uniqueId val="{00000003-B1DC-4E79-ADEB-413D1F315515}"/>
            </c:ext>
          </c:extLst>
        </c:ser>
        <c:ser>
          <c:idx val="4"/>
          <c:order val="4"/>
          <c:tx>
            <c:strRef>
              <c:f>'NSWOS demersal over 24m'!$H$166</c:f>
              <c:strCache>
                <c:ptCount val="1"/>
                <c:pt idx="0">
                  <c:v>Ling</c:v>
                </c:pt>
              </c:strCache>
            </c:strRef>
          </c:tx>
          <c:spPr>
            <a:solidFill>
              <a:srgbClr val="FED825"/>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24m'!$I$166:$K$166</c:f>
              <c:numCache>
                <c:formatCode>0%</c:formatCode>
                <c:ptCount val="3"/>
                <c:pt idx="0">
                  <c:v>0</c:v>
                </c:pt>
                <c:pt idx="1">
                  <c:v>5.4045581919457776E-2</c:v>
                </c:pt>
                <c:pt idx="2">
                  <c:v>0</c:v>
                </c:pt>
              </c:numCache>
            </c:numRef>
          </c:val>
          <c:extLst>
            <c:ext xmlns:c16="http://schemas.microsoft.com/office/drawing/2014/chart" uri="{C3380CC4-5D6E-409C-BE32-E72D297353CC}">
              <c16:uniqueId val="{00000004-B1DC-4E79-ADEB-413D1F315515}"/>
            </c:ext>
          </c:extLst>
        </c:ser>
        <c:ser>
          <c:idx val="5"/>
          <c:order val="5"/>
          <c:tx>
            <c:strRef>
              <c:f>'NSWOS demersal over 24m'!$H$167</c:f>
              <c:strCache>
                <c:ptCount val="1"/>
                <c:pt idx="0">
                  <c:v>Plaice</c:v>
                </c:pt>
              </c:strCache>
            </c:strRef>
          </c:tx>
          <c:spPr>
            <a:solidFill>
              <a:srgbClr val="707271"/>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24m'!$I$167:$K$167</c:f>
              <c:numCache>
                <c:formatCode>0%</c:formatCode>
                <c:ptCount val="3"/>
                <c:pt idx="0">
                  <c:v>0</c:v>
                </c:pt>
                <c:pt idx="1">
                  <c:v>0</c:v>
                </c:pt>
                <c:pt idx="2">
                  <c:v>0.21573082303223073</c:v>
                </c:pt>
              </c:numCache>
            </c:numRef>
          </c:val>
          <c:extLst>
            <c:ext xmlns:c16="http://schemas.microsoft.com/office/drawing/2014/chart" uri="{C3380CC4-5D6E-409C-BE32-E72D297353CC}">
              <c16:uniqueId val="{00000005-B1DC-4E79-ADEB-413D1F315515}"/>
            </c:ext>
          </c:extLst>
        </c:ser>
        <c:ser>
          <c:idx val="6"/>
          <c:order val="6"/>
          <c:tx>
            <c:strRef>
              <c:f>'NSWOS demersal over 24m'!$H$168</c:f>
              <c:strCache>
                <c:ptCount val="1"/>
                <c:pt idx="0">
                  <c:v>Squid</c:v>
                </c:pt>
              </c:strCache>
            </c:strRef>
          </c:tx>
          <c:spPr>
            <a:solidFill>
              <a:srgbClr val="E84A38"/>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24m'!$I$168:$K$168</c:f>
              <c:numCache>
                <c:formatCode>0%</c:formatCode>
                <c:ptCount val="3"/>
                <c:pt idx="0">
                  <c:v>5.3914149033842347E-2</c:v>
                </c:pt>
                <c:pt idx="1">
                  <c:v>0</c:v>
                </c:pt>
                <c:pt idx="2">
                  <c:v>9.9155191221074662E-2</c:v>
                </c:pt>
              </c:numCache>
            </c:numRef>
          </c:val>
          <c:extLst>
            <c:ext xmlns:c16="http://schemas.microsoft.com/office/drawing/2014/chart" uri="{C3380CC4-5D6E-409C-BE32-E72D297353CC}">
              <c16:uniqueId val="{00000006-B1DC-4E79-ADEB-413D1F315515}"/>
            </c:ext>
          </c:extLst>
        </c:ser>
        <c:ser>
          <c:idx val="7"/>
          <c:order val="7"/>
          <c:tx>
            <c:strRef>
              <c:f>'NSWOS demersal over 24m'!$H$169</c:f>
              <c:strCache>
                <c:ptCount val="1"/>
                <c:pt idx="0">
                  <c:v>Nephrops</c:v>
                </c:pt>
              </c:strCache>
            </c:strRef>
          </c:tx>
          <c:spPr>
            <a:solidFill>
              <a:srgbClr val="51AA81"/>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24m'!$I$169:$K$169</c:f>
              <c:numCache>
                <c:formatCode>0%</c:formatCode>
                <c:ptCount val="3"/>
                <c:pt idx="0">
                  <c:v>0</c:v>
                </c:pt>
                <c:pt idx="1">
                  <c:v>0</c:v>
                </c:pt>
                <c:pt idx="2">
                  <c:v>7.6898470734122634E-2</c:v>
                </c:pt>
              </c:numCache>
            </c:numRef>
          </c:val>
          <c:extLst>
            <c:ext xmlns:c16="http://schemas.microsoft.com/office/drawing/2014/chart" uri="{C3380CC4-5D6E-409C-BE32-E72D297353CC}">
              <c16:uniqueId val="{00000007-B1DC-4E79-ADEB-413D1F315515}"/>
            </c:ext>
          </c:extLst>
        </c:ser>
        <c:ser>
          <c:idx val="8"/>
          <c:order val="8"/>
          <c:tx>
            <c:strRef>
              <c:f>'NSWOS demersal over 24m'!$H$170</c:f>
              <c:strCache>
                <c:ptCount val="1"/>
                <c:pt idx="0">
                  <c:v>Others</c:v>
                </c:pt>
              </c:strCache>
            </c:strRef>
          </c:tx>
          <c:spPr>
            <a:solidFill>
              <a:srgbClr val="55585A"/>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24m'!$I$170:$K$170</c:f>
              <c:numCache>
                <c:formatCode>0%</c:formatCode>
                <c:ptCount val="3"/>
                <c:pt idx="0">
                  <c:v>0.19934861213327693</c:v>
                </c:pt>
                <c:pt idx="1">
                  <c:v>0.19281677573934908</c:v>
                </c:pt>
                <c:pt idx="2">
                  <c:v>0.3752491356011054</c:v>
                </c:pt>
              </c:numCache>
            </c:numRef>
          </c:val>
          <c:extLst>
            <c:ext xmlns:c16="http://schemas.microsoft.com/office/drawing/2014/chart" uri="{C3380CC4-5D6E-409C-BE32-E72D297353CC}">
              <c16:uniqueId val="{00000008-B1DC-4E79-ADEB-413D1F315515}"/>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o250kW'!$K$62</c:f>
          <c:strCache>
            <c:ptCount val="1"/>
            <c:pt idx="0">
              <c:v>Average annual operating profit per vessel (£'000)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298A-4653-BED4-3BD932EA07BC}"/>
              </c:ext>
            </c:extLst>
          </c:dPt>
          <c:dPt>
            <c:idx val="10"/>
            <c:bubble3D val="0"/>
            <c:spPr>
              <a:ln w="57150">
                <a:solidFill>
                  <a:schemeClr val="accent5"/>
                </a:solidFill>
                <a:prstDash val="sysDot"/>
              </a:ln>
            </c:spPr>
            <c:extLst>
              <c:ext xmlns:c16="http://schemas.microsoft.com/office/drawing/2014/chart" uri="{C3380CC4-5D6E-409C-BE32-E72D297353CC}">
                <c16:uniqueId val="{00000003-298A-4653-BED4-3BD932EA07BC}"/>
              </c:ext>
            </c:extLst>
          </c:dPt>
          <c:cat>
            <c:numRef>
              <c:f>'Area VIIa nephrops o250kW'!$D$2:$M$2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'Area VIIa nephrops o250kW'!$D$37:$N$37</c:f>
              <c:numCache>
                <c:formatCode>#,##0.0</c:formatCode>
                <c:ptCount val="11"/>
                <c:pt idx="0">
                  <c:v>36.700000000000003</c:v>
                </c:pt>
                <c:pt idx="1">
                  <c:v>61.2</c:v>
                </c:pt>
                <c:pt idx="2">
                  <c:v>82.3</c:v>
                </c:pt>
                <c:pt idx="3">
                  <c:v>53.8</c:v>
                </c:pt>
                <c:pt idx="4">
                  <c:v>51.1</c:v>
                </c:pt>
                <c:pt idx="5">
                  <c:v>89.7</c:v>
                </c:pt>
                <c:pt idx="6">
                  <c:v>94.5</c:v>
                </c:pt>
                <c:pt idx="7">
                  <c:v>83.8</c:v>
                </c:pt>
                <c:pt idx="8">
                  <c:v>56.6</c:v>
                </c:pt>
                <c:pt idx="9">
                  <c:v>128.1</c:v>
                </c:pt>
                <c:pt idx="10">
                  <c:v>77.600000000000009</c:v>
                </c:pt>
              </c:numCache>
            </c:numRef>
          </c:val>
          <c:smooth val="0"/>
          <c:extLst>
            <c:ext xmlns:c16="http://schemas.microsoft.com/office/drawing/2014/chart" uri="{C3380CC4-5D6E-409C-BE32-E72D297353CC}">
              <c16:uniqueId val="{00000004-298A-4653-BED4-3BD932EA07BC}"/>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'NSWOS demersal over 24m'!$K$139</c:f>
              <c:strCache>
                <c:ptCount val="1"/>
                <c:pt idx="0">
                  <c:v>Total income</c:v>
                </c:pt>
              </c:strCache>
            </c:strRef>
          </c:tx>
          <c:spPr>
            <a:solidFill>
              <a:srgbClr val="087CBB"/>
            </a:solidFill>
            <a:ln>
              <a:solidFill>
                <a:schemeClr val="accent1"/>
              </a:solidFill>
            </a:ln>
          </c:spPr>
          <c:invertIfNegative val="0"/>
          <c:cat>
            <c:strRef>
              <c:f>'NSWOS demersal over 24m'!$L$138:$N$138</c:f>
              <c:strCache>
                <c:ptCount val="3"/>
                <c:pt idx="0">
                  <c:v>Most
profitable
quartile</c:v>
                </c:pt>
                <c:pt idx="1">
                  <c:v>Middle
two quartiles</c:v>
                </c:pt>
                <c:pt idx="2">
                  <c:v>Least
profitable
quartile</c:v>
                </c:pt>
              </c:strCache>
            </c:strRef>
          </c:cat>
          <c:val>
            <c:numRef>
              <c:f>'NSWOS demersal over 24m'!$L$139:$N$139</c:f>
              <c:numCache>
                <c:formatCode>#,##0</c:formatCode>
                <c:ptCount val="3"/>
                <c:pt idx="0">
                  <c:v>3839.6849999999999</c:v>
                </c:pt>
                <c:pt idx="1">
                  <c:v>2316.2714375</c:v>
                </c:pt>
                <c:pt idx="2">
                  <c:v>1276.9760000000001</c:v>
                </c:pt>
              </c:numCache>
            </c:numRef>
          </c:val>
          <c:extLst>
            <c:ext xmlns:c16="http://schemas.microsoft.com/office/drawing/2014/chart" uri="{C3380CC4-5D6E-409C-BE32-E72D297353CC}">
              <c16:uniqueId val="{00000000-06D1-488C-BBB8-CD9879FE7FC2}"/>
            </c:ext>
          </c:extLst>
        </c:ser>
        <c:ser>
          <c:idx val="1"/>
          <c:order val="1"/>
          <c:tx>
            <c:strRef>
              <c:f>'NSWOS demersal over 24m'!$K$140</c:f>
              <c:strCache>
                <c:ptCount val="1"/>
                <c:pt idx="0">
                  <c:v>Operating costs</c:v>
                </c:pt>
              </c:strCache>
            </c:strRef>
          </c:tx>
          <c:spPr>
            <a:solidFill>
              <a:srgbClr val="E87308"/>
            </a:solidFill>
          </c:spPr>
          <c:invertIfNegative val="0"/>
          <c:cat>
            <c:strRef>
              <c:f>'NSWOS demersal over 24m'!$L$138:$N$138</c:f>
              <c:strCache>
                <c:ptCount val="3"/>
                <c:pt idx="0">
                  <c:v>Most
profitable
quartile</c:v>
                </c:pt>
                <c:pt idx="1">
                  <c:v>Middle
two quartiles</c:v>
                </c:pt>
                <c:pt idx="2">
                  <c:v>Least
profitable
quartile</c:v>
                </c:pt>
              </c:strCache>
            </c:strRef>
          </c:cat>
          <c:val>
            <c:numRef>
              <c:f>'NSWOS demersal over 24m'!$L$140:$N$140</c:f>
              <c:numCache>
                <c:formatCode>#,##0</c:formatCode>
                <c:ptCount val="3"/>
                <c:pt idx="0">
                  <c:v>2934.8752500000001</c:v>
                </c:pt>
                <c:pt idx="1">
                  <c:v>1889.17175</c:v>
                </c:pt>
                <c:pt idx="2">
                  <c:v>1283.027</c:v>
                </c:pt>
              </c:numCache>
            </c:numRef>
          </c:val>
          <c:extLst>
            <c:ext xmlns:c16="http://schemas.microsoft.com/office/drawing/2014/chart" uri="{C3380CC4-5D6E-409C-BE32-E72D297353CC}">
              <c16:uniqueId val="{00000001-06D1-488C-BBB8-CD9879FE7FC2}"/>
            </c:ext>
          </c:extLst>
        </c:ser>
        <c:ser>
          <c:idx val="2"/>
          <c:order val="2"/>
          <c:tx>
            <c:strRef>
              <c:f>'NSWOS demersal over 24m'!$K$141</c:f>
              <c:strCache>
                <c:ptCount val="1"/>
                <c:pt idx="0">
                  <c:v>Operating profit</c:v>
                </c:pt>
              </c:strCache>
            </c:strRef>
          </c:tx>
          <c:spPr>
            <a:solidFill>
              <a:srgbClr val="51AA81"/>
            </a:solidFill>
          </c:spPr>
          <c:invertIfNegative val="0"/>
          <c:cat>
            <c:strRef>
              <c:f>'NSWOS demersal over 24m'!$L$138:$N$138</c:f>
              <c:strCache>
                <c:ptCount val="3"/>
                <c:pt idx="0">
                  <c:v>Most
profitable
quartile</c:v>
                </c:pt>
                <c:pt idx="1">
                  <c:v>Middle
two quartiles</c:v>
                </c:pt>
                <c:pt idx="2">
                  <c:v>Least
profitable
quartile</c:v>
                </c:pt>
              </c:strCache>
            </c:strRef>
          </c:cat>
          <c:val>
            <c:numRef>
              <c:f>'NSWOS demersal over 24m'!$L$141:$N$141</c:f>
              <c:numCache>
                <c:formatCode>#,##0</c:formatCode>
                <c:ptCount val="3"/>
                <c:pt idx="0">
                  <c:v>904.80975000000001</c:v>
                </c:pt>
                <c:pt idx="1">
                  <c:v>427.09968750000002</c:v>
                </c:pt>
                <c:pt idx="2">
                  <c:v>-6.0510000000000002</c:v>
                </c:pt>
              </c:numCache>
            </c:numRef>
          </c:val>
          <c:extLst>
            <c:ext xmlns:c16="http://schemas.microsoft.com/office/drawing/2014/chart" uri="{C3380CC4-5D6E-409C-BE32-E72D297353CC}">
              <c16:uniqueId val="{00000002-06D1-488C-BBB8-CD9879FE7FC2}"/>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'NSWOS demersal over 24m'!$K$142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seine'!$A$48</c:f>
          <c:strCache>
            <c:ptCount val="1"/>
            <c:pt idx="0">
              <c:v>Landings per kW day at sea (kg)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7F9B-4B91-B662-EDCB517F002E}"/>
              </c:ext>
            </c:extLst>
          </c:dPt>
          <c:dPt>
            <c:idx val="10"/>
            <c:bubble3D val="0"/>
            <c:spPr>
              <a:ln w="57150">
                <a:solidFill>
                  <a:srgbClr val="2273B9"/>
                </a:solidFill>
                <a:prstDash val="sysDot"/>
              </a:ln>
            </c:spPr>
            <c:extLst>
              <c:ext xmlns:c16="http://schemas.microsoft.com/office/drawing/2014/chart" uri="{C3380CC4-5D6E-409C-BE32-E72D297353CC}">
                <c16:uniqueId val="{00000003-7F9B-4B91-B662-EDCB517F002E}"/>
              </c:ext>
            </c:extLst>
          </c:dPt>
          <c:cat>
            <c:numRef>
              <c:f>'NSWOS dem pair trawl seine'!$D$2:$N$2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'NSWOS dem pair trawl seine'!$D$21:$N$21</c:f>
              <c:numCache>
                <c:formatCode>#,##0.00</c:formatCode>
                <c:ptCount val="11"/>
                <c:pt idx="0">
                  <c:v>6.9334901590095797</c:v>
                </c:pt>
                <c:pt idx="1">
                  <c:v>7.1804181121119175</c:v>
                </c:pt>
                <c:pt idx="2">
                  <c:v>8.4675204750370394</c:v>
                </c:pt>
                <c:pt idx="3">
                  <c:v>9.6634899870868356</c:v>
                </c:pt>
                <c:pt idx="4">
                  <c:v>9.9904098579477321</c:v>
                </c:pt>
                <c:pt idx="5">
                  <c:v>8.924383222780703</c:v>
                </c:pt>
                <c:pt idx="6">
                  <c:v>9.9660243818735381</c:v>
                </c:pt>
                <c:pt idx="7">
                  <c:v>10.633405650152223</c:v>
                </c:pt>
                <c:pt idx="8">
                  <c:v>9.7251156431219528</c:v>
                </c:pt>
                <c:pt idx="9">
                  <c:v>9.3298584197246246</c:v>
                </c:pt>
                <c:pt idx="10">
                  <c:v>9.2658679329830136</c:v>
                </c:pt>
              </c:numCache>
            </c:numRef>
          </c:val>
          <c:smooth val="0"/>
          <c:extLst>
            <c:ext xmlns:c16="http://schemas.microsoft.com/office/drawing/2014/chart" uri="{C3380CC4-5D6E-409C-BE32-E72D297353CC}">
              <c16:uniqueId val="{00000004-7F9B-4B91-B662-EDCB517F002E}"/>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seine'!$A$49</c:f>
          <c:strCache>
            <c:ptCount val="1"/>
            <c:pt idx="0">
              <c:v>Fishing income per kW day at sea (£)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CF60-4614-861C-2EFD4197BF92}"/>
              </c:ext>
            </c:extLst>
          </c:dPt>
          <c:dPt>
            <c:idx val="10"/>
            <c:bubble3D val="0"/>
            <c:spPr>
              <a:ln w="57150">
                <a:solidFill>
                  <a:srgbClr val="648C2E"/>
                </a:solidFill>
                <a:prstDash val="sysDot"/>
              </a:ln>
            </c:spPr>
            <c:extLst>
              <c:ext xmlns:c16="http://schemas.microsoft.com/office/drawing/2014/chart" uri="{C3380CC4-5D6E-409C-BE32-E72D297353CC}">
                <c16:uniqueId val="{00000003-CF60-4614-861C-2EFD4197BF92}"/>
              </c:ext>
            </c:extLst>
          </c:dPt>
          <c:cat>
            <c:numRef>
              <c:f>'NSWOS dem pair trawl seine'!$D$2:$N$2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'NSWOS dem pair trawl seine'!$D$22:$N$22</c:f>
              <c:numCache>
                <c:formatCode>#,##0.00</c:formatCode>
                <c:ptCount val="11"/>
                <c:pt idx="0">
                  <c:v>11.9398587331941</c:v>
                </c:pt>
                <c:pt idx="1">
                  <c:v>13.256557962920001</c:v>
                </c:pt>
                <c:pt idx="2">
                  <c:v>13.713166483717099</c:v>
                </c:pt>
                <c:pt idx="3">
                  <c:v>15.170391415490901</c:v>
                </c:pt>
                <c:pt idx="4">
                  <c:v>17.2123416861977</c:v>
                </c:pt>
                <c:pt idx="5">
                  <c:v>14.938010808607199</c:v>
                </c:pt>
                <c:pt idx="6">
                  <c:v>17.932615806115901</c:v>
                </c:pt>
                <c:pt idx="7">
                  <c:v>21.117811304417099</c:v>
                </c:pt>
                <c:pt idx="8">
                  <c:v>18.050718036953299</c:v>
                </c:pt>
                <c:pt idx="9">
                  <c:v>18.0763715831865</c:v>
                </c:pt>
                <c:pt idx="10">
                  <c:v>15.131093563922843</c:v>
                </c:pt>
              </c:numCache>
            </c:numRef>
          </c:val>
          <c:smooth val="0"/>
          <c:extLst>
            <c:ext xmlns:c16="http://schemas.microsoft.com/office/drawing/2014/chart" uri="{C3380CC4-5D6E-409C-BE32-E72D297353CC}">
              <c16:uniqueId val="{00000004-CF60-4614-861C-2EFD4197BF92}"/>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seine'!$B$62</c:f>
          <c:strCache>
            <c:ptCount val="1"/>
            <c:pt idx="0">
              <c:v>Total cost per kW day at sea (£)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68F8-40B4-B5BE-3E91F53CF6DD}"/>
              </c:ext>
            </c:extLst>
          </c:dPt>
          <c:dPt>
            <c:idx val="10"/>
            <c:bubble3D val="0"/>
            <c:spPr>
              <a:ln w="57150">
                <a:solidFill>
                  <a:srgbClr val="087CBB"/>
                </a:solidFill>
                <a:prstDash val="sysDot"/>
              </a:ln>
            </c:spPr>
            <c:extLst>
              <c:ext xmlns:c16="http://schemas.microsoft.com/office/drawing/2014/chart" uri="{C3380CC4-5D6E-409C-BE32-E72D297353CC}">
                <c16:uniqueId val="{00000003-68F8-40B4-B5BE-3E91F53CF6DD}"/>
              </c:ext>
            </c:extLst>
          </c:dPt>
          <c:cat>
            <c:numRef>
              <c:f>'NSWOS dem pair trawl seine'!$D$2:$N$2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'NSWOS dem pair trawl seine'!$D$23:$N$23</c:f>
              <c:numCache>
                <c:formatCode>#,##0.00</c:formatCode>
                <c:ptCount val="11"/>
                <c:pt idx="0">
                  <c:v>10.763577799965701</c:v>
                </c:pt>
                <c:pt idx="1">
                  <c:v>12.2566218182805</c:v>
                </c:pt>
                <c:pt idx="2">
                  <c:v>12.9553273188725</c:v>
                </c:pt>
                <c:pt idx="3">
                  <c:v>14.633117215148699</c:v>
                </c:pt>
                <c:pt idx="4">
                  <c:v>15.417388340628399</c:v>
                </c:pt>
                <c:pt idx="5">
                  <c:v>14.0220010719664</c:v>
                </c:pt>
                <c:pt idx="6">
                  <c:v>14.916463714012099</c:v>
                </c:pt>
                <c:pt idx="7">
                  <c:v>18.212829753290901</c:v>
                </c:pt>
                <c:pt idx="8">
                  <c:v>15.5766129700294</c:v>
                </c:pt>
                <c:pt idx="9">
                  <c:v>15.858122618112899</c:v>
                </c:pt>
                <c:pt idx="10">
                  <c:v>13.821352398453666</c:v>
                </c:pt>
              </c:numCache>
            </c:numRef>
          </c:val>
          <c:smooth val="0"/>
          <c:extLst>
            <c:ext xmlns:c16="http://schemas.microsoft.com/office/drawing/2014/chart" uri="{C3380CC4-5D6E-409C-BE32-E72D297353CC}">
              <c16:uniqueId val="{00000004-68F8-40B4-B5BE-3E91F53CF6DD}"/>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seine'!$K$48</c:f>
          <c:strCache>
            <c:ptCount val="1"/>
            <c:pt idx="0">
              <c:v>Operating profit per kW day at sea (£)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F4D7-4512-9BC6-90CB3375819E}"/>
              </c:ext>
            </c:extLst>
          </c:dPt>
          <c:dPt>
            <c:idx val="10"/>
            <c:bubble3D val="0"/>
            <c:spPr>
              <a:ln w="57150">
                <a:solidFill>
                  <a:schemeClr val="accent3"/>
                </a:solidFill>
                <a:prstDash val="sysDot"/>
              </a:ln>
            </c:spPr>
            <c:extLst>
              <c:ext xmlns:c16="http://schemas.microsoft.com/office/drawing/2014/chart" uri="{C3380CC4-5D6E-409C-BE32-E72D297353CC}">
                <c16:uniqueId val="{00000003-F4D7-4512-9BC6-90CB3375819E}"/>
              </c:ext>
            </c:extLst>
          </c:dPt>
          <c:cat>
            <c:numRef>
              <c:f>'NSWOS dem pair trawl seine'!$D$2:$N$2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'NSWOS dem pair trawl seine'!$D$24:$N$24</c:f>
              <c:numCache>
                <c:formatCode>#,##0.00</c:formatCode>
                <c:ptCount val="11"/>
                <c:pt idx="0">
                  <c:v>1.2921908295986999</c:v>
                </c:pt>
                <c:pt idx="1">
                  <c:v>1.3897221404455999</c:v>
                </c:pt>
                <c:pt idx="2">
                  <c:v>1.4599425213791899</c:v>
                </c:pt>
                <c:pt idx="3">
                  <c:v>3.39344226962322</c:v>
                </c:pt>
                <c:pt idx="4">
                  <c:v>4.0975189951359301</c:v>
                </c:pt>
                <c:pt idx="5">
                  <c:v>1.3666373364536899</c:v>
                </c:pt>
                <c:pt idx="6">
                  <c:v>4.2040938845095104</c:v>
                </c:pt>
                <c:pt idx="7">
                  <c:v>3.74206376890921</c:v>
                </c:pt>
                <c:pt idx="8">
                  <c:v>2.5239998971823101</c:v>
                </c:pt>
                <c:pt idx="9">
                  <c:v>2.2732130896234999</c:v>
                </c:pt>
                <c:pt idx="10">
                  <c:v>1.3627827363063552</c:v>
                </c:pt>
              </c:numCache>
            </c:numRef>
          </c:val>
          <c:smooth val="0"/>
          <c:extLst>
            <c:ext xmlns:c16="http://schemas.microsoft.com/office/drawing/2014/chart" uri="{C3380CC4-5D6E-409C-BE32-E72D297353CC}">
              <c16:uniqueId val="{00000004-F4D7-4512-9BC6-90CB3375819E}"/>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seine'!$A$50</c:f>
          <c:strCache>
            <c:ptCount val="1"/>
            <c:pt idx="0">
              <c:v>Average price per tonne landed (£)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4DED-4928-8150-C7F3DCC7BFDB}"/>
              </c:ext>
            </c:extLst>
          </c:dPt>
          <c:dPt>
            <c:idx val="10"/>
            <c:bubble3D val="0"/>
            <c:spPr>
              <a:ln w="57150">
                <a:solidFill>
                  <a:schemeClr val="accent4"/>
                </a:solidFill>
                <a:prstDash val="sysDot"/>
              </a:ln>
            </c:spPr>
            <c:extLst>
              <c:ext xmlns:c16="http://schemas.microsoft.com/office/drawing/2014/chart" uri="{C3380CC4-5D6E-409C-BE32-E72D297353CC}">
                <c16:uniqueId val="{00000003-4DED-4928-8150-C7F3DCC7BFDB}"/>
              </c:ext>
            </c:extLst>
          </c:dPt>
          <c:cat>
            <c:numRef>
              <c:f>'NSWOS dem pair trawl seine'!$D$2:$M$2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'NSWOS dem pair trawl seine'!$D$20:$N$20</c:f>
              <c:numCache>
                <c:formatCode>#,##0</c:formatCode>
                <c:ptCount val="11"/>
                <c:pt idx="0">
                  <c:v>1722</c:v>
                </c:pt>
                <c:pt idx="1">
                  <c:v>1846</c:v>
                </c:pt>
                <c:pt idx="2">
                  <c:v>1620</c:v>
                </c:pt>
                <c:pt idx="3">
                  <c:v>1570</c:v>
                </c:pt>
                <c:pt idx="4">
                  <c:v>1723</c:v>
                </c:pt>
                <c:pt idx="5">
                  <c:v>1674</c:v>
                </c:pt>
                <c:pt idx="6">
                  <c:v>1799</c:v>
                </c:pt>
                <c:pt idx="7">
                  <c:v>1986</c:v>
                </c:pt>
                <c:pt idx="8">
                  <c:v>1856</c:v>
                </c:pt>
                <c:pt idx="9">
                  <c:v>1937</c:v>
                </c:pt>
                <c:pt idx="10">
                  <c:v>1633</c:v>
                </c:pt>
              </c:numCache>
            </c:numRef>
          </c:val>
          <c:smooth val="0"/>
          <c:extLst>
            <c:ext xmlns:c16="http://schemas.microsoft.com/office/drawing/2014/chart" uri="{C3380CC4-5D6E-409C-BE32-E72D297353CC}">
              <c16:uniqueId val="{00000004-4DED-4928-8150-C7F3DCC7BFDB}"/>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seine'!$K$62</c:f>
          <c:strCache>
            <c:ptCount val="1"/>
            <c:pt idx="0">
              <c:v>Average annual operating profit per vessel (£'000)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FA8F-482F-81F9-6D350CBC7256}"/>
              </c:ext>
            </c:extLst>
          </c:dPt>
          <c:dPt>
            <c:idx val="10"/>
            <c:bubble3D val="0"/>
            <c:spPr>
              <a:ln w="57150">
                <a:solidFill>
                  <a:schemeClr val="accent5"/>
                </a:solidFill>
                <a:prstDash val="sysDot"/>
              </a:ln>
            </c:spPr>
            <c:extLst>
              <c:ext xmlns:c16="http://schemas.microsoft.com/office/drawing/2014/chart" uri="{C3380CC4-5D6E-409C-BE32-E72D297353CC}">
                <c16:uniqueId val="{00000003-FA8F-482F-81F9-6D350CBC7256}"/>
              </c:ext>
            </c:extLst>
          </c:dPt>
          <c:cat>
            <c:numRef>
              <c:f>'NSWOS dem pair trawl seine'!$D$2:$M$2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'NSWOS dem pair trawl seine'!$D$37:$N$37</c:f>
              <c:numCache>
                <c:formatCode>#,##0.0</c:formatCode>
                <c:ptCount val="11"/>
                <c:pt idx="0">
                  <c:v>116</c:v>
                </c:pt>
                <c:pt idx="1">
                  <c:v>124.8</c:v>
                </c:pt>
                <c:pt idx="2">
                  <c:v>118.4</c:v>
                </c:pt>
                <c:pt idx="3">
                  <c:v>298.89999999999998</c:v>
                </c:pt>
                <c:pt idx="4">
                  <c:v>330.2</c:v>
                </c:pt>
                <c:pt idx="5">
                  <c:v>142.4</c:v>
                </c:pt>
                <c:pt idx="6">
                  <c:v>458.9</c:v>
                </c:pt>
                <c:pt idx="7">
                  <c:v>391</c:v>
                </c:pt>
                <c:pt idx="8">
                  <c:v>294.60000000000002</c:v>
                </c:pt>
                <c:pt idx="9">
                  <c:v>275.60000000000002</c:v>
                </c:pt>
                <c:pt idx="10">
                  <c:v>145</c:v>
                </c:pt>
              </c:numCache>
            </c:numRef>
          </c:val>
          <c:smooth val="0"/>
          <c:extLst>
            <c:ext xmlns:c16="http://schemas.microsoft.com/office/drawing/2014/chart" uri="{C3380CC4-5D6E-409C-BE32-E72D297353CC}">
              <c16:uniqueId val="{00000004-FA8F-482F-81F9-6D350CBC7256}"/>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 pair trawl seine'!$A$76</c:f>
          <c:strCache>
            <c:ptCount val="1"/>
            <c:pt idx="0">
              <c:v>Top 5 landed species by volume in 2019
NSWOS demersal pair trawl seine</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314E-4171-B685-F6F5EF16D1FA}"/>
              </c:ext>
            </c:extLst>
          </c:dPt>
          <c:dPt>
            <c:idx val="1"/>
            <c:bubble3D val="0"/>
            <c:spPr>
              <a:solidFill>
                <a:srgbClr val="E84A38"/>
              </a:solidFill>
              <a:ln>
                <a:solidFill>
                  <a:srgbClr val="FFFFFF"/>
                </a:solidFill>
              </a:ln>
            </c:spPr>
            <c:extLst>
              <c:ext xmlns:c16="http://schemas.microsoft.com/office/drawing/2014/chart" uri="{C3380CC4-5D6E-409C-BE32-E72D297353CC}">
                <c16:uniqueId val="{00000003-314E-4171-B685-F6F5EF16D1FA}"/>
              </c:ext>
            </c:extLst>
          </c:dPt>
          <c:dPt>
            <c:idx val="2"/>
            <c:bubble3D val="0"/>
            <c:spPr>
              <a:solidFill>
                <a:srgbClr val="E87308"/>
              </a:solidFill>
              <a:ln>
                <a:solidFill>
                  <a:srgbClr val="FFFFFF"/>
                </a:solidFill>
              </a:ln>
            </c:spPr>
            <c:extLst>
              <c:ext xmlns:c16="http://schemas.microsoft.com/office/drawing/2014/chart" uri="{C3380CC4-5D6E-409C-BE32-E72D297353CC}">
                <c16:uniqueId val="{00000005-314E-4171-B685-F6F5EF16D1FA}"/>
              </c:ext>
            </c:extLst>
          </c:dPt>
          <c:dPt>
            <c:idx val="3"/>
            <c:bubble3D val="0"/>
            <c:spPr>
              <a:solidFill>
                <a:srgbClr val="C1D119"/>
              </a:solidFill>
              <a:ln>
                <a:solidFill>
                  <a:srgbClr val="FFFFFF"/>
                </a:solidFill>
              </a:ln>
            </c:spPr>
            <c:extLst>
              <c:ext xmlns:c16="http://schemas.microsoft.com/office/drawing/2014/chart" uri="{C3380CC4-5D6E-409C-BE32-E72D297353CC}">
                <c16:uniqueId val="{00000007-314E-4171-B685-F6F5EF16D1FA}"/>
              </c:ext>
            </c:extLst>
          </c:dPt>
          <c:dPt>
            <c:idx val="4"/>
            <c:bubble3D val="0"/>
            <c:spPr>
              <a:solidFill>
                <a:srgbClr val="648C2E"/>
              </a:solidFill>
              <a:ln>
                <a:solidFill>
                  <a:srgbClr val="FFFFFF"/>
                </a:solidFill>
              </a:ln>
            </c:spPr>
            <c:extLst>
              <c:ext xmlns:c16="http://schemas.microsoft.com/office/drawing/2014/chart" uri="{C3380CC4-5D6E-409C-BE32-E72D297353CC}">
                <c16:uniqueId val="{00000009-314E-4171-B685-F6F5EF16D1FA}"/>
              </c:ext>
            </c:extLst>
          </c:dPt>
          <c:dPt>
            <c:idx val="5"/>
            <c:bubble3D val="0"/>
            <c:spPr>
              <a:solidFill>
                <a:srgbClr val="55585A"/>
              </a:solidFill>
              <a:ln>
                <a:solidFill>
                  <a:srgbClr val="FFFFFF"/>
                </a:solidFill>
              </a:ln>
            </c:spPr>
            <c:extLst>
              <c:ext xmlns:c16="http://schemas.microsoft.com/office/drawing/2014/chart" uri="{C3380CC4-5D6E-409C-BE32-E72D297353CC}">
                <c16:uniqueId val="{0000000B-314E-4171-B685-F6F5EF16D1FA}"/>
              </c:ext>
            </c:extLst>
          </c:dPt>
          <c:cat>
            <c:strRef>
              <c:f>'NSWOS dem pair trawl seine'!$B$77:$B$82</c:f>
              <c:strCache>
                <c:ptCount val="6"/>
                <c:pt idx="0">
                  <c:v>Haddock - 33.1%</c:v>
                </c:pt>
                <c:pt idx="1">
                  <c:v>Saithe - 18.3%</c:v>
                </c:pt>
                <c:pt idx="2">
                  <c:v>Cod - 16.3%</c:v>
                </c:pt>
                <c:pt idx="3">
                  <c:v>Whiting - 14.5%</c:v>
                </c:pt>
                <c:pt idx="4">
                  <c:v>Hake - 10.4%</c:v>
                </c:pt>
                <c:pt idx="5">
                  <c:v>Others - 7.4%</c:v>
                </c:pt>
              </c:strCache>
            </c:strRef>
          </c:cat>
          <c:val>
            <c:numRef>
              <c:f>'NSWOS dem pair trawl seine'!$C$77:$C$82</c:f>
              <c:numCache>
                <c:formatCode>0.0%</c:formatCode>
                <c:ptCount val="6"/>
                <c:pt idx="0">
                  <c:v>0.33137557638356835</c:v>
                </c:pt>
                <c:pt idx="1">
                  <c:v>0.18308458200797273</c:v>
                </c:pt>
                <c:pt idx="2">
                  <c:v>0.16252184573688647</c:v>
                </c:pt>
                <c:pt idx="3">
                  <c:v>0.144706514031578</c:v>
                </c:pt>
                <c:pt idx="4">
                  <c:v>0.10405399662481676</c:v>
                </c:pt>
                <c:pt idx="5">
                  <c:v>7.4257485215177721E-2</c:v>
                </c:pt>
              </c:numCache>
            </c:numRef>
          </c:val>
          <c:extLst>
            <c:ext xmlns:c16="http://schemas.microsoft.com/office/drawing/2014/chart" uri="{C3380CC4-5D6E-409C-BE32-E72D297353CC}">
              <c16:uniqueId val="{0000000C-314E-4171-B685-F6F5EF16D1FA}"/>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 pair trawl seine'!$F$76</c:f>
          <c:strCache>
            <c:ptCount val="1"/>
            <c:pt idx="0">
              <c:v>Top 5 landed species by value in 2019
NSWOS demersal pair trawl seine</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4CF7-4D10-8157-C8742673AC38}"/>
              </c:ext>
            </c:extLst>
          </c:dPt>
          <c:dPt>
            <c:idx val="1"/>
            <c:bubble3D val="0"/>
            <c:spPr>
              <a:solidFill>
                <a:srgbClr val="E87308"/>
              </a:solidFill>
              <a:ln>
                <a:solidFill>
                  <a:srgbClr val="FFFFFF"/>
                </a:solidFill>
              </a:ln>
            </c:spPr>
            <c:extLst>
              <c:ext xmlns:c16="http://schemas.microsoft.com/office/drawing/2014/chart" uri="{C3380CC4-5D6E-409C-BE32-E72D297353CC}">
                <c16:uniqueId val="{00000003-4CF7-4D10-8157-C8742673AC38}"/>
              </c:ext>
            </c:extLst>
          </c:dPt>
          <c:dPt>
            <c:idx val="2"/>
            <c:bubble3D val="0"/>
            <c:spPr>
              <a:solidFill>
                <a:srgbClr val="648C2E"/>
              </a:solidFill>
              <a:ln>
                <a:solidFill>
                  <a:srgbClr val="FFFFFF"/>
                </a:solidFill>
              </a:ln>
            </c:spPr>
            <c:extLst>
              <c:ext xmlns:c16="http://schemas.microsoft.com/office/drawing/2014/chart" uri="{C3380CC4-5D6E-409C-BE32-E72D297353CC}">
                <c16:uniqueId val="{00000005-4CF7-4D10-8157-C8742673AC38}"/>
              </c:ext>
            </c:extLst>
          </c:dPt>
          <c:dPt>
            <c:idx val="3"/>
            <c:bubble3D val="0"/>
            <c:spPr>
              <a:solidFill>
                <a:srgbClr val="C1D119"/>
              </a:solidFill>
              <a:ln>
                <a:solidFill>
                  <a:srgbClr val="FFFFFF"/>
                </a:solidFill>
              </a:ln>
            </c:spPr>
            <c:extLst>
              <c:ext xmlns:c16="http://schemas.microsoft.com/office/drawing/2014/chart" uri="{C3380CC4-5D6E-409C-BE32-E72D297353CC}">
                <c16:uniqueId val="{00000007-4CF7-4D10-8157-C8742673AC38}"/>
              </c:ext>
            </c:extLst>
          </c:dPt>
          <c:dPt>
            <c:idx val="4"/>
            <c:bubble3D val="0"/>
            <c:spPr>
              <a:solidFill>
                <a:srgbClr val="E84A38"/>
              </a:solidFill>
              <a:ln>
                <a:solidFill>
                  <a:srgbClr val="FFFFFF"/>
                </a:solidFill>
              </a:ln>
            </c:spPr>
            <c:extLst>
              <c:ext xmlns:c16="http://schemas.microsoft.com/office/drawing/2014/chart" uri="{C3380CC4-5D6E-409C-BE32-E72D297353CC}">
                <c16:uniqueId val="{00000009-4CF7-4D10-8157-C8742673AC38}"/>
              </c:ext>
            </c:extLst>
          </c:dPt>
          <c:dPt>
            <c:idx val="5"/>
            <c:bubble3D val="0"/>
            <c:spPr>
              <a:solidFill>
                <a:srgbClr val="55585A"/>
              </a:solidFill>
              <a:ln>
                <a:solidFill>
                  <a:srgbClr val="FFFFFF"/>
                </a:solidFill>
              </a:ln>
            </c:spPr>
            <c:extLst>
              <c:ext xmlns:c16="http://schemas.microsoft.com/office/drawing/2014/chart" uri="{C3380CC4-5D6E-409C-BE32-E72D297353CC}">
                <c16:uniqueId val="{0000000B-4CF7-4D10-8157-C8742673AC38}"/>
              </c:ext>
            </c:extLst>
          </c:dPt>
          <c:cat>
            <c:strRef>
              <c:f>'NSWOS dem pair trawl seine'!$G$77:$G$82</c:f>
              <c:strCache>
                <c:ptCount val="6"/>
                <c:pt idx="0">
                  <c:v>Haddock - 28.1%</c:v>
                </c:pt>
                <c:pt idx="1">
                  <c:v>Cod - 25.1%</c:v>
                </c:pt>
                <c:pt idx="2">
                  <c:v>Hake - 14.0%</c:v>
                </c:pt>
                <c:pt idx="3">
                  <c:v>Whiting - 11.0%</c:v>
                </c:pt>
                <c:pt idx="4">
                  <c:v>Saithe - 10.8%</c:v>
                </c:pt>
                <c:pt idx="5">
                  <c:v>Others - 11.0%</c:v>
                </c:pt>
              </c:strCache>
            </c:strRef>
          </c:cat>
          <c:val>
            <c:numRef>
              <c:f>'NSWOS dem pair trawl seine'!$H$77:$H$82</c:f>
              <c:numCache>
                <c:formatCode>0.0%</c:formatCode>
                <c:ptCount val="6"/>
                <c:pt idx="0">
                  <c:v>0.2805672284094512</c:v>
                </c:pt>
                <c:pt idx="1">
                  <c:v>0.25100785538796633</c:v>
                </c:pt>
                <c:pt idx="2">
                  <c:v>0.13979070861564211</c:v>
                </c:pt>
                <c:pt idx="3">
                  <c:v>0.1104238704370377</c:v>
                </c:pt>
                <c:pt idx="4">
                  <c:v>0.10786978920271661</c:v>
                </c:pt>
                <c:pt idx="5">
                  <c:v>0.11034054794718595</c:v>
                </c:pt>
              </c:numCache>
            </c:numRef>
          </c:val>
          <c:extLst>
            <c:ext xmlns:c16="http://schemas.microsoft.com/office/drawing/2014/chart" uri="{C3380CC4-5D6E-409C-BE32-E72D297353CC}">
              <c16:uniqueId val="{0000000C-4CF7-4D10-8157-C8742673AC3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 pair trawl seine'!$K$77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 pair trawl seine'!$C$92</c:f>
              <c:strCache>
                <c:ptCount val="1"/>
                <c:pt idx="0">
                  <c:v>Haddock</c:v>
                </c:pt>
              </c:strCache>
            </c:strRef>
          </c:tx>
          <c:spPr>
            <a:solidFill>
              <a:srgbClr val="2273B9"/>
            </a:solidFill>
            <a:ln>
              <a:solidFill>
                <a:srgbClr val="FFFFFF"/>
              </a:solidFill>
            </a:ln>
          </c:spPr>
          <c:invertIfNegative val="0"/>
          <c:cat>
            <c:numRef>
              <c:f>'NSWOS dem pair trawl seine'!$D$91:$M$91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 pair trawl seine'!$D$92:$M$92</c:f>
              <c:numCache>
                <c:formatCode>0%</c:formatCode>
                <c:ptCount val="10"/>
                <c:pt idx="0">
                  <c:v>0.35237343075609789</c:v>
                </c:pt>
                <c:pt idx="1">
                  <c:v>0.35239735739472361</c:v>
                </c:pt>
                <c:pt idx="2">
                  <c:v>0.43569989956170779</c:v>
                </c:pt>
                <c:pt idx="3">
                  <c:v>0.45572136728729962</c:v>
                </c:pt>
                <c:pt idx="4">
                  <c:v>0.39313096614794296</c:v>
                </c:pt>
                <c:pt idx="5">
                  <c:v>0.31525322249881704</c:v>
                </c:pt>
                <c:pt idx="6">
                  <c:v>0.31165261645158288</c:v>
                </c:pt>
                <c:pt idx="7">
                  <c:v>0.26997341836128275</c:v>
                </c:pt>
                <c:pt idx="8">
                  <c:v>0.2805672284094512</c:v>
                </c:pt>
                <c:pt idx="9">
                  <c:v>0.32536858547973979</c:v>
                </c:pt>
              </c:numCache>
            </c:numRef>
          </c:val>
          <c:extLst>
            <c:ext xmlns:c16="http://schemas.microsoft.com/office/drawing/2014/chart" uri="{C3380CC4-5D6E-409C-BE32-E72D297353CC}">
              <c16:uniqueId val="{00000000-D50B-4C79-A723-03090E690564}"/>
            </c:ext>
          </c:extLst>
        </c:ser>
        <c:ser>
          <c:idx val="1"/>
          <c:order val="1"/>
          <c:tx>
            <c:strRef>
              <c:f>'NSWOS dem pair trawl seine'!$C$93</c:f>
              <c:strCache>
                <c:ptCount val="1"/>
                <c:pt idx="0">
                  <c:v>Cod</c:v>
                </c:pt>
              </c:strCache>
            </c:strRef>
          </c:tx>
          <c:spPr>
            <a:solidFill>
              <a:srgbClr val="E87308"/>
            </a:solidFill>
            <a:ln>
              <a:solidFill>
                <a:srgbClr val="FFFFFF"/>
              </a:solidFill>
            </a:ln>
          </c:spPr>
          <c:invertIfNegative val="0"/>
          <c:cat>
            <c:numRef>
              <c:f>'NSWOS dem pair trawl seine'!$D$91:$M$91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 pair trawl seine'!$D$93:$M$93</c:f>
              <c:numCache>
                <c:formatCode>0%</c:formatCode>
                <c:ptCount val="10"/>
                <c:pt idx="0">
                  <c:v>0.27961659003839762</c:v>
                </c:pt>
                <c:pt idx="1">
                  <c:v>0.272732262837241</c:v>
                </c:pt>
                <c:pt idx="2">
                  <c:v>0.24821049059428049</c:v>
                </c:pt>
                <c:pt idx="3">
                  <c:v>0.25206868056234105</c:v>
                </c:pt>
                <c:pt idx="4">
                  <c:v>0.27458945988326627</c:v>
                </c:pt>
                <c:pt idx="5">
                  <c:v>0.30305407697875503</c:v>
                </c:pt>
                <c:pt idx="6">
                  <c:v>0.30344021761794321</c:v>
                </c:pt>
                <c:pt idx="7">
                  <c:v>0.29539099634776611</c:v>
                </c:pt>
                <c:pt idx="8">
                  <c:v>0.25100785538796633</c:v>
                </c:pt>
                <c:pt idx="9">
                  <c:v>0.22836332208304647</c:v>
                </c:pt>
              </c:numCache>
            </c:numRef>
          </c:val>
          <c:extLst>
            <c:ext xmlns:c16="http://schemas.microsoft.com/office/drawing/2014/chart" uri="{C3380CC4-5D6E-409C-BE32-E72D297353CC}">
              <c16:uniqueId val="{00000001-D50B-4C79-A723-03090E690564}"/>
            </c:ext>
          </c:extLst>
        </c:ser>
        <c:ser>
          <c:idx val="2"/>
          <c:order val="2"/>
          <c:tx>
            <c:strRef>
              <c:f>'NSWOS dem pair trawl seine'!$C$94</c:f>
              <c:strCache>
                <c:ptCount val="1"/>
                <c:pt idx="0">
                  <c:v>Hake</c:v>
                </c:pt>
              </c:strCache>
            </c:strRef>
          </c:tx>
          <c:spPr>
            <a:solidFill>
              <a:srgbClr val="648C2E"/>
            </a:solidFill>
            <a:ln>
              <a:solidFill>
                <a:srgbClr val="FFFFFF"/>
              </a:solidFill>
            </a:ln>
          </c:spPr>
          <c:invertIfNegative val="0"/>
          <c:cat>
            <c:numRef>
              <c:f>'NSWOS dem pair trawl seine'!$D$91:$M$91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 pair trawl seine'!$D$94:$M$94</c:f>
              <c:numCache>
                <c:formatCode>0%</c:formatCode>
                <c:ptCount val="10"/>
                <c:pt idx="0">
                  <c:v>6.8361287480473529E-2</c:v>
                </c:pt>
                <c:pt idx="1">
                  <c:v>0.10323048257790415</c:v>
                </c:pt>
                <c:pt idx="2">
                  <c:v>6.5939526086595812E-2</c:v>
                </c:pt>
                <c:pt idx="3">
                  <c:v>7.5130450908800009E-2</c:v>
                </c:pt>
                <c:pt idx="4">
                  <c:v>8.6951573196641152E-2</c:v>
                </c:pt>
                <c:pt idx="5">
                  <c:v>0.11397079997032863</c:v>
                </c:pt>
                <c:pt idx="6">
                  <c:v>0.13633657683190104</c:v>
                </c:pt>
                <c:pt idx="7">
                  <c:v>0.13665158339448044</c:v>
                </c:pt>
                <c:pt idx="8">
                  <c:v>0.13979070861564211</c:v>
                </c:pt>
                <c:pt idx="9">
                  <c:v>0.11178934918441785</c:v>
                </c:pt>
              </c:numCache>
            </c:numRef>
          </c:val>
          <c:extLst>
            <c:ext xmlns:c16="http://schemas.microsoft.com/office/drawing/2014/chart" uri="{C3380CC4-5D6E-409C-BE32-E72D297353CC}">
              <c16:uniqueId val="{00000002-D50B-4C79-A723-03090E690564}"/>
            </c:ext>
          </c:extLst>
        </c:ser>
        <c:ser>
          <c:idx val="3"/>
          <c:order val="3"/>
          <c:tx>
            <c:strRef>
              <c:f>'NSWOS dem pair trawl seine'!$C$95</c:f>
              <c:strCache>
                <c:ptCount val="1"/>
                <c:pt idx="0">
                  <c:v>Whiting</c:v>
                </c:pt>
              </c:strCache>
            </c:strRef>
          </c:tx>
          <c:spPr>
            <a:solidFill>
              <a:srgbClr val="C1D119"/>
            </a:solidFill>
            <a:ln>
              <a:solidFill>
                <a:srgbClr val="FFFFFF"/>
              </a:solidFill>
            </a:ln>
          </c:spPr>
          <c:invertIfNegative val="0"/>
          <c:cat>
            <c:numRef>
              <c:f>'NSWOS dem pair trawl seine'!$D$91:$M$91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 pair trawl seine'!$D$95:$M$95</c:f>
              <c:numCache>
                <c:formatCode>0%</c:formatCode>
                <c:ptCount val="10"/>
                <c:pt idx="0">
                  <c:v>0.10771897157248587</c:v>
                </c:pt>
                <c:pt idx="1">
                  <c:v>0.10502281906001214</c:v>
                </c:pt>
                <c:pt idx="2">
                  <c:v>0.10149966814764605</c:v>
                </c:pt>
                <c:pt idx="3">
                  <c:v>8.3691051558998947E-2</c:v>
                </c:pt>
                <c:pt idx="4">
                  <c:v>8.2947646164777192E-2</c:v>
                </c:pt>
                <c:pt idx="5">
                  <c:v>7.1452072226729751E-2</c:v>
                </c:pt>
                <c:pt idx="6">
                  <c:v>7.4098710179027971E-2</c:v>
                </c:pt>
                <c:pt idx="7">
                  <c:v>8.7831940893330671E-2</c:v>
                </c:pt>
                <c:pt idx="8">
                  <c:v>0.1104238704370377</c:v>
                </c:pt>
                <c:pt idx="9">
                  <c:v>0.12141408034771863</c:v>
                </c:pt>
              </c:numCache>
            </c:numRef>
          </c:val>
          <c:extLst>
            <c:ext xmlns:c16="http://schemas.microsoft.com/office/drawing/2014/chart" uri="{C3380CC4-5D6E-409C-BE32-E72D297353CC}">
              <c16:uniqueId val="{00000003-D50B-4C79-A723-03090E690564}"/>
            </c:ext>
          </c:extLst>
        </c:ser>
        <c:ser>
          <c:idx val="4"/>
          <c:order val="4"/>
          <c:tx>
            <c:strRef>
              <c:f>'NSWOS dem pair trawl seine'!$C$96</c:f>
              <c:strCache>
                <c:ptCount val="1"/>
                <c:pt idx="0">
                  <c:v>Saithe</c:v>
                </c:pt>
              </c:strCache>
            </c:strRef>
          </c:tx>
          <c:spPr>
            <a:solidFill>
              <a:srgbClr val="E84A38"/>
            </a:solidFill>
            <a:ln>
              <a:solidFill>
                <a:srgbClr val="FFFFFF"/>
              </a:solidFill>
            </a:ln>
          </c:spPr>
          <c:invertIfNegative val="0"/>
          <c:cat>
            <c:numRef>
              <c:f>'NSWOS dem pair trawl seine'!$D$91:$M$91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 pair trawl seine'!$D$96:$M$96</c:f>
              <c:numCache>
                <c:formatCode>0%</c:formatCode>
                <c:ptCount val="10"/>
                <c:pt idx="0">
                  <c:v>0.10530739750309752</c:v>
                </c:pt>
                <c:pt idx="1">
                  <c:v>8.346386482172731E-2</c:v>
                </c:pt>
                <c:pt idx="2">
                  <c:v>7.9000062001669855E-2</c:v>
                </c:pt>
                <c:pt idx="3">
                  <c:v>7.4743093822931927E-2</c:v>
                </c:pt>
                <c:pt idx="4">
                  <c:v>7.8761213691446952E-2</c:v>
                </c:pt>
                <c:pt idx="5">
                  <c:v>7.8732786348224768E-2</c:v>
                </c:pt>
                <c:pt idx="6">
                  <c:v>6.0383455791543569E-2</c:v>
                </c:pt>
                <c:pt idx="7">
                  <c:v>8.3616553680395903E-2</c:v>
                </c:pt>
                <c:pt idx="8">
                  <c:v>0.10786978920271661</c:v>
                </c:pt>
                <c:pt idx="9">
                  <c:v>0.10647317219344334</c:v>
                </c:pt>
              </c:numCache>
            </c:numRef>
          </c:val>
          <c:extLst>
            <c:ext xmlns:c16="http://schemas.microsoft.com/office/drawing/2014/chart" uri="{C3380CC4-5D6E-409C-BE32-E72D297353CC}">
              <c16:uniqueId val="{00000004-D50B-4C79-A723-03090E690564}"/>
            </c:ext>
          </c:extLst>
        </c:ser>
        <c:ser>
          <c:idx val="5"/>
          <c:order val="5"/>
          <c:tx>
            <c:strRef>
              <c:f>'NSWOS dem pair trawl seine'!$C$97</c:f>
              <c:strCache>
                <c:ptCount val="1"/>
                <c:pt idx="0">
                  <c:v>Others</c:v>
                </c:pt>
              </c:strCache>
            </c:strRef>
          </c:tx>
          <c:spPr>
            <a:solidFill>
              <a:srgbClr val="55585A"/>
            </a:solidFill>
            <a:ln>
              <a:solidFill>
                <a:srgbClr val="FFFFFF"/>
              </a:solidFill>
            </a:ln>
          </c:spPr>
          <c:invertIfNegative val="0"/>
          <c:cat>
            <c:numRef>
              <c:f>'NSWOS dem pair trawl seine'!$D$91:$M$91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 pair trawl seine'!$D$97:$M$97</c:f>
              <c:numCache>
                <c:formatCode>0%</c:formatCode>
                <c:ptCount val="10"/>
                <c:pt idx="0">
                  <c:v>8.6622322649447539E-2</c:v>
                </c:pt>
                <c:pt idx="1">
                  <c:v>8.315321330839176E-2</c:v>
                </c:pt>
                <c:pt idx="2">
                  <c:v>6.9650353608100027E-2</c:v>
                </c:pt>
                <c:pt idx="3">
                  <c:v>5.8645355859628427E-2</c:v>
                </c:pt>
                <c:pt idx="4">
                  <c:v>8.3619140915925441E-2</c:v>
                </c:pt>
                <c:pt idx="5">
                  <c:v>0.11753704197714476</c:v>
                </c:pt>
                <c:pt idx="6">
                  <c:v>0.11408842312800131</c:v>
                </c:pt>
                <c:pt idx="7">
                  <c:v>0.1265355073227441</c:v>
                </c:pt>
                <c:pt idx="8">
                  <c:v>0.11034054794718602</c:v>
                </c:pt>
                <c:pt idx="9">
                  <c:v>0.10659149071163394</c:v>
                </c:pt>
              </c:numCache>
            </c:numRef>
          </c:val>
          <c:extLst>
            <c:ext xmlns:c16="http://schemas.microsoft.com/office/drawing/2014/chart" uri="{C3380CC4-5D6E-409C-BE32-E72D297353CC}">
              <c16:uniqueId val="{00000005-D50B-4C79-A723-03090E690564}"/>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o250kW'!$A$76</c:f>
          <c:strCache>
            <c:ptCount val="1"/>
            <c:pt idx="0">
              <c:v>Top 5 landed species by volume in 2019
Area VIIA nephrops over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D4B9-4B10-8596-068157C42D1E}"/>
              </c:ext>
            </c:extLst>
          </c:dPt>
          <c:dPt>
            <c:idx val="1"/>
            <c:bubble3D val="0"/>
            <c:spPr>
              <a:solidFill>
                <a:srgbClr val="0F9AA9"/>
              </a:solidFill>
              <a:ln>
                <a:solidFill>
                  <a:srgbClr val="FFFFFF"/>
                </a:solidFill>
              </a:ln>
            </c:spPr>
            <c:extLst>
              <c:ext xmlns:c16="http://schemas.microsoft.com/office/drawing/2014/chart" uri="{C3380CC4-5D6E-409C-BE32-E72D297353CC}">
                <c16:uniqueId val="{00000003-D4B9-4B10-8596-068157C42D1E}"/>
              </c:ext>
            </c:extLst>
          </c:dPt>
          <c:dPt>
            <c:idx val="2"/>
            <c:bubble3D val="0"/>
            <c:spPr>
              <a:solidFill>
                <a:srgbClr val="648C2E"/>
              </a:solidFill>
              <a:ln>
                <a:solidFill>
                  <a:srgbClr val="FFFFFF"/>
                </a:solidFill>
              </a:ln>
            </c:spPr>
            <c:extLst>
              <c:ext xmlns:c16="http://schemas.microsoft.com/office/drawing/2014/chart" uri="{C3380CC4-5D6E-409C-BE32-E72D297353CC}">
                <c16:uniqueId val="{00000005-D4B9-4B10-8596-068157C42D1E}"/>
              </c:ext>
            </c:extLst>
          </c:dPt>
          <c:dPt>
            <c:idx val="3"/>
            <c:bubble3D val="0"/>
            <c:spPr>
              <a:solidFill>
                <a:srgbClr val="E87308"/>
              </a:solidFill>
              <a:ln>
                <a:solidFill>
                  <a:srgbClr val="FFFFFF"/>
                </a:solidFill>
              </a:ln>
            </c:spPr>
            <c:extLst>
              <c:ext xmlns:c16="http://schemas.microsoft.com/office/drawing/2014/chart" uri="{C3380CC4-5D6E-409C-BE32-E72D297353CC}">
                <c16:uniqueId val="{00000007-D4B9-4B10-8596-068157C42D1E}"/>
              </c:ext>
            </c:extLst>
          </c:dPt>
          <c:dPt>
            <c:idx val="4"/>
            <c:bubble3D val="0"/>
            <c:spPr>
              <a:solidFill>
                <a:srgbClr val="C1D119"/>
              </a:solidFill>
              <a:ln>
                <a:solidFill>
                  <a:srgbClr val="FFFFFF"/>
                </a:solidFill>
              </a:ln>
            </c:spPr>
            <c:extLst>
              <c:ext xmlns:c16="http://schemas.microsoft.com/office/drawing/2014/chart" uri="{C3380CC4-5D6E-409C-BE32-E72D297353CC}">
                <c16:uniqueId val="{00000009-D4B9-4B10-8596-068157C42D1E}"/>
              </c:ext>
            </c:extLst>
          </c:dPt>
          <c:dPt>
            <c:idx val="5"/>
            <c:bubble3D val="0"/>
            <c:spPr>
              <a:solidFill>
                <a:srgbClr val="55585A"/>
              </a:solidFill>
              <a:ln>
                <a:solidFill>
                  <a:srgbClr val="FFFFFF"/>
                </a:solidFill>
              </a:ln>
            </c:spPr>
            <c:extLst>
              <c:ext xmlns:c16="http://schemas.microsoft.com/office/drawing/2014/chart" uri="{C3380CC4-5D6E-409C-BE32-E72D297353CC}">
                <c16:uniqueId val="{0000000B-D4B9-4B10-8596-068157C42D1E}"/>
              </c:ext>
            </c:extLst>
          </c:dPt>
          <c:cat>
            <c:strRef>
              <c:f>'Area VIIa nephrops o250kW'!$B$77:$B$82</c:f>
              <c:strCache>
                <c:ptCount val="6"/>
                <c:pt idx="0">
                  <c:v>Nephrops - 84.1%</c:v>
                </c:pt>
                <c:pt idx="1">
                  <c:v>Les. Spot. Dog - 6.0%</c:v>
                </c:pt>
                <c:pt idx="2">
                  <c:v>Haddock - 3.4%</c:v>
                </c:pt>
                <c:pt idx="3">
                  <c:v>Anglerfish - 2.1%</c:v>
                </c:pt>
                <c:pt idx="4">
                  <c:v>Cuttlefish - 0.8%</c:v>
                </c:pt>
                <c:pt idx="5">
                  <c:v>Others - 3.6%</c:v>
                </c:pt>
              </c:strCache>
            </c:strRef>
          </c:cat>
          <c:val>
            <c:numRef>
              <c:f>'Area VIIa nephrops o250kW'!$C$77:$C$82</c:f>
              <c:numCache>
                <c:formatCode>0.0%</c:formatCode>
                <c:ptCount val="6"/>
                <c:pt idx="0">
                  <c:v>0.84058038378090616</c:v>
                </c:pt>
                <c:pt idx="1">
                  <c:v>6.0100900238730527E-2</c:v>
                </c:pt>
                <c:pt idx="2">
                  <c:v>3.4115774925306243E-2</c:v>
                </c:pt>
                <c:pt idx="3">
                  <c:v>2.1288239170678121E-2</c:v>
                </c:pt>
                <c:pt idx="4">
                  <c:v>8.3109833400615354E-3</c:v>
                </c:pt>
                <c:pt idx="5">
                  <c:v>3.5603718544317431E-2</c:v>
                </c:pt>
              </c:numCache>
            </c:numRef>
          </c:val>
          <c:extLst>
            <c:ext xmlns:c16="http://schemas.microsoft.com/office/drawing/2014/chart" uri="{C3380CC4-5D6E-409C-BE32-E72D297353CC}">
              <c16:uniqueId val="{0000000C-D4B9-4B10-8596-068157C42D1E}"/>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'NSWOS dem pair trawl seine'!$B$162</c:f>
              <c:strCache>
                <c:ptCount val="1"/>
                <c:pt idx="0">
                  <c:v>Haddock</c:v>
                </c:pt>
              </c:strCache>
            </c:strRef>
          </c:tx>
          <c:spPr>
            <a:solidFill>
              <a:srgbClr val="2273B9"/>
            </a:solidFill>
            <a:ln>
              <a:solidFill>
                <a:srgbClr val="FFFFFF"/>
              </a:solidFill>
            </a:ln>
          </c:spPr>
          <c:invertIfNegative val="0"/>
          <c:cat>
            <c:strRef>
              <c:f>'NSWOS dem pair trawl seine'!$C$161:$E$161</c:f>
              <c:strCache>
                <c:ptCount val="3"/>
                <c:pt idx="0">
                  <c:v>Most
profitable
quartile</c:v>
                </c:pt>
                <c:pt idx="1">
                  <c:v>Middle 
two quartiles</c:v>
                </c:pt>
                <c:pt idx="2">
                  <c:v>Least
profitable
quartile</c:v>
                </c:pt>
              </c:strCache>
            </c:strRef>
          </c:cat>
          <c:val>
            <c:numRef>
              <c:f>'NSWOS dem pair trawl seine'!$C$162:$E$162</c:f>
              <c:numCache>
                <c:formatCode>0%</c:formatCode>
                <c:ptCount val="3"/>
                <c:pt idx="0">
                  <c:v>0.27203453514917059</c:v>
                </c:pt>
                <c:pt idx="1">
                  <c:v>0.3756664101215737</c:v>
                </c:pt>
                <c:pt idx="2">
                  <c:v>0.3743833704277994</c:v>
                </c:pt>
              </c:numCache>
            </c:numRef>
          </c:val>
          <c:extLst>
            <c:ext xmlns:c16="http://schemas.microsoft.com/office/drawing/2014/chart" uri="{C3380CC4-5D6E-409C-BE32-E72D297353CC}">
              <c16:uniqueId val="{00000000-51F0-4687-B81C-A2F6B46302B7}"/>
            </c:ext>
          </c:extLst>
        </c:ser>
        <c:ser>
          <c:idx val="1"/>
          <c:order val="1"/>
          <c:tx>
            <c:strRef>
              <c:f>'NSWOS dem pair trawl seine'!$B$163</c:f>
              <c:strCache>
                <c:ptCount val="1"/>
                <c:pt idx="0">
                  <c:v>Saithe</c:v>
                </c:pt>
              </c:strCache>
            </c:strRef>
          </c:tx>
          <c:spPr>
            <a:solidFill>
              <a:srgbClr val="E84A38"/>
            </a:solidFill>
            <a:ln>
              <a:solidFill>
                <a:srgbClr val="FFFFFF"/>
              </a:solidFill>
            </a:ln>
          </c:spPr>
          <c:invertIfNegative val="0"/>
          <c:cat>
            <c:strRef>
              <c:f>'NSWOS dem pair trawl seine'!$C$161:$E$161</c:f>
              <c:strCache>
                <c:ptCount val="3"/>
                <c:pt idx="0">
                  <c:v>Most
profitable
quartile</c:v>
                </c:pt>
                <c:pt idx="1">
                  <c:v>Middle 
two quartiles</c:v>
                </c:pt>
                <c:pt idx="2">
                  <c:v>Least
profitable
quartile</c:v>
                </c:pt>
              </c:strCache>
            </c:strRef>
          </c:cat>
          <c:val>
            <c:numRef>
              <c:f>'NSWOS dem pair trawl seine'!$C$163:$E$163</c:f>
              <c:numCache>
                <c:formatCode>0%</c:formatCode>
                <c:ptCount val="3"/>
                <c:pt idx="0">
                  <c:v>0.22899410031955925</c:v>
                </c:pt>
                <c:pt idx="1">
                  <c:v>0.17010792974519823</c:v>
                </c:pt>
                <c:pt idx="2">
                  <c:v>0.12154382980464433</c:v>
                </c:pt>
              </c:numCache>
            </c:numRef>
          </c:val>
          <c:extLst>
            <c:ext xmlns:c16="http://schemas.microsoft.com/office/drawing/2014/chart" uri="{C3380CC4-5D6E-409C-BE32-E72D297353CC}">
              <c16:uniqueId val="{00000001-51F0-4687-B81C-A2F6B46302B7}"/>
            </c:ext>
          </c:extLst>
        </c:ser>
        <c:ser>
          <c:idx val="2"/>
          <c:order val="2"/>
          <c:tx>
            <c:strRef>
              <c:f>'NSWOS dem pair trawl seine'!$B$164</c:f>
              <c:strCache>
                <c:ptCount val="1"/>
                <c:pt idx="0">
                  <c:v>Cod</c:v>
                </c:pt>
              </c:strCache>
            </c:strRef>
          </c:tx>
          <c:spPr>
            <a:solidFill>
              <a:srgbClr val="E87308"/>
            </a:solidFill>
            <a:ln>
              <a:solidFill>
                <a:srgbClr val="FFFFFF"/>
              </a:solidFill>
            </a:ln>
          </c:spPr>
          <c:invertIfNegative val="0"/>
          <c:cat>
            <c:strRef>
              <c:f>'NSWOS dem pair trawl seine'!$C$161:$E$161</c:f>
              <c:strCache>
                <c:ptCount val="3"/>
                <c:pt idx="0">
                  <c:v>Most
profitable
quartile</c:v>
                </c:pt>
                <c:pt idx="1">
                  <c:v>Middle 
two quartiles</c:v>
                </c:pt>
                <c:pt idx="2">
                  <c:v>Least
profitable
quartile</c:v>
                </c:pt>
              </c:strCache>
            </c:strRef>
          </c:cat>
          <c:val>
            <c:numRef>
              <c:f>'NSWOS dem pair trawl seine'!$C$164:$E$164</c:f>
              <c:numCache>
                <c:formatCode>0%</c:formatCode>
                <c:ptCount val="3"/>
                <c:pt idx="0">
                  <c:v>0.1616389325286948</c:v>
                </c:pt>
                <c:pt idx="1">
                  <c:v>0.16688451190979908</c:v>
                </c:pt>
                <c:pt idx="2">
                  <c:v>0.1624540767526749</c:v>
                </c:pt>
              </c:numCache>
            </c:numRef>
          </c:val>
          <c:extLst>
            <c:ext xmlns:c16="http://schemas.microsoft.com/office/drawing/2014/chart" uri="{C3380CC4-5D6E-409C-BE32-E72D297353CC}">
              <c16:uniqueId val="{00000002-51F0-4687-B81C-A2F6B46302B7}"/>
            </c:ext>
          </c:extLst>
        </c:ser>
        <c:ser>
          <c:idx val="3"/>
          <c:order val="3"/>
          <c:tx>
            <c:strRef>
              <c:f>'NSWOS dem pair trawl seine'!$B$165</c:f>
              <c:strCache>
                <c:ptCount val="1"/>
                <c:pt idx="0">
                  <c:v>Whiting</c:v>
                </c:pt>
              </c:strCache>
            </c:strRef>
          </c:tx>
          <c:spPr>
            <a:solidFill>
              <a:srgbClr val="C1D119"/>
            </a:solidFill>
            <a:ln>
              <a:solidFill>
                <a:srgbClr val="FFFFFF"/>
              </a:solidFill>
            </a:ln>
          </c:spPr>
          <c:invertIfNegative val="0"/>
          <c:cat>
            <c:strRef>
              <c:f>'NSWOS dem pair trawl seine'!$C$161:$E$161</c:f>
              <c:strCache>
                <c:ptCount val="3"/>
                <c:pt idx="0">
                  <c:v>Most
profitable
quartile</c:v>
                </c:pt>
                <c:pt idx="1">
                  <c:v>Middle 
two quartiles</c:v>
                </c:pt>
                <c:pt idx="2">
                  <c:v>Least
profitable
quartile</c:v>
                </c:pt>
              </c:strCache>
            </c:strRef>
          </c:cat>
          <c:val>
            <c:numRef>
              <c:f>'NSWOS dem pair trawl seine'!$C$165:$E$165</c:f>
              <c:numCache>
                <c:formatCode>0%</c:formatCode>
                <c:ptCount val="3"/>
                <c:pt idx="0">
                  <c:v>0.11882289678877099</c:v>
                </c:pt>
                <c:pt idx="1">
                  <c:v>0.15504639177543841</c:v>
                </c:pt>
                <c:pt idx="2">
                  <c:v>0.18501372383369788</c:v>
                </c:pt>
              </c:numCache>
            </c:numRef>
          </c:val>
          <c:extLst>
            <c:ext xmlns:c16="http://schemas.microsoft.com/office/drawing/2014/chart" uri="{C3380CC4-5D6E-409C-BE32-E72D297353CC}">
              <c16:uniqueId val="{00000003-51F0-4687-B81C-A2F6B46302B7}"/>
            </c:ext>
          </c:extLst>
        </c:ser>
        <c:ser>
          <c:idx val="4"/>
          <c:order val="4"/>
          <c:tx>
            <c:strRef>
              <c:f>'NSWOS dem pair trawl seine'!$B$166</c:f>
              <c:strCache>
                <c:ptCount val="1"/>
                <c:pt idx="0">
                  <c:v>Hake</c:v>
                </c:pt>
              </c:strCache>
            </c:strRef>
          </c:tx>
          <c:spPr>
            <a:solidFill>
              <a:srgbClr val="648C2E"/>
            </a:solidFill>
            <a:ln>
              <a:solidFill>
                <a:srgbClr val="FFFFFF"/>
              </a:solidFill>
            </a:ln>
          </c:spPr>
          <c:invertIfNegative val="0"/>
          <c:cat>
            <c:strRef>
              <c:f>'NSWOS dem pair trawl seine'!$C$161:$E$161</c:f>
              <c:strCache>
                <c:ptCount val="3"/>
                <c:pt idx="0">
                  <c:v>Most
profitable
quartile</c:v>
                </c:pt>
                <c:pt idx="1">
                  <c:v>Middle 
two quartiles</c:v>
                </c:pt>
                <c:pt idx="2">
                  <c:v>Least
profitable
quartile</c:v>
                </c:pt>
              </c:strCache>
            </c:strRef>
          </c:cat>
          <c:val>
            <c:numRef>
              <c:f>'NSWOS dem pair trawl seine'!$C$166:$E$166</c:f>
              <c:numCache>
                <c:formatCode>0%</c:formatCode>
                <c:ptCount val="3"/>
                <c:pt idx="0">
                  <c:v>0.14800416232303376</c:v>
                </c:pt>
                <c:pt idx="1">
                  <c:v>8.0661628412185937E-2</c:v>
                </c:pt>
                <c:pt idx="2">
                  <c:v>6.7758565422800732E-2</c:v>
                </c:pt>
              </c:numCache>
            </c:numRef>
          </c:val>
          <c:extLst>
            <c:ext xmlns:c16="http://schemas.microsoft.com/office/drawing/2014/chart" uri="{C3380CC4-5D6E-409C-BE32-E72D297353CC}">
              <c16:uniqueId val="{00000004-51F0-4687-B81C-A2F6B46302B7}"/>
            </c:ext>
          </c:extLst>
        </c:ser>
        <c:ser>
          <c:idx val="5"/>
          <c:order val="5"/>
          <c:tx>
            <c:strRef>
              <c:f>'NSWOS dem pair trawl seine'!$B$167</c:f>
              <c:strCache>
                <c:ptCount val="1"/>
                <c:pt idx="0">
                  <c:v>Others</c:v>
                </c:pt>
              </c:strCache>
            </c:strRef>
          </c:tx>
          <c:spPr>
            <a:solidFill>
              <a:srgbClr val="55585A"/>
            </a:solidFill>
            <a:ln>
              <a:solidFill>
                <a:srgbClr val="FFFFFF"/>
              </a:solidFill>
            </a:ln>
          </c:spPr>
          <c:invertIfNegative val="0"/>
          <c:cat>
            <c:strRef>
              <c:f>'NSWOS dem pair trawl seine'!$C$161:$E$161</c:f>
              <c:strCache>
                <c:ptCount val="3"/>
                <c:pt idx="0">
                  <c:v>Most
profitable
quartile</c:v>
                </c:pt>
                <c:pt idx="1">
                  <c:v>Middle 
two quartiles</c:v>
                </c:pt>
                <c:pt idx="2">
                  <c:v>Least
profitable
quartile</c:v>
                </c:pt>
              </c:strCache>
            </c:strRef>
          </c:cat>
          <c:val>
            <c:numRef>
              <c:f>'NSWOS dem pair trawl seine'!$C$167:$E$167</c:f>
              <c:numCache>
                <c:formatCode>0%</c:formatCode>
                <c:ptCount val="3"/>
                <c:pt idx="0">
                  <c:v>7.0505372890770523E-2</c:v>
                </c:pt>
                <c:pt idx="1">
                  <c:v>5.1633128035804554E-2</c:v>
                </c:pt>
                <c:pt idx="2">
                  <c:v>8.8846433758382748E-2</c:v>
                </c:pt>
              </c:numCache>
            </c:numRef>
          </c:val>
          <c:extLst>
            <c:ext xmlns:c16="http://schemas.microsoft.com/office/drawing/2014/chart" uri="{C3380CC4-5D6E-409C-BE32-E72D297353CC}">
              <c16:uniqueId val="{00000005-51F0-4687-B81C-A2F6B46302B7}"/>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'NSWOS dem pair trawl seine'!$H$162</c:f>
              <c:strCache>
                <c:ptCount val="1"/>
                <c:pt idx="0">
                  <c:v>Haddock</c:v>
                </c:pt>
              </c:strCache>
            </c:strRef>
          </c:tx>
          <c:spPr>
            <a:solidFill>
              <a:srgbClr val="2273B9"/>
            </a:solidFill>
            <a:ln>
              <a:solidFill>
                <a:srgbClr val="FFFFFF"/>
              </a:solidFill>
            </a:ln>
          </c:spPr>
          <c:invertIfNegative val="0"/>
          <c:cat>
            <c:strRef>
              <c:f>'NSWOS dem pair trawl seine'!$I$161:$K$161</c:f>
              <c:strCache>
                <c:ptCount val="3"/>
                <c:pt idx="0">
                  <c:v>Most
profitable
quartile</c:v>
                </c:pt>
                <c:pt idx="1">
                  <c:v>Middle 
two quartiles</c:v>
                </c:pt>
                <c:pt idx="2">
                  <c:v>Least
profitable
quartile</c:v>
                </c:pt>
              </c:strCache>
            </c:strRef>
          </c:cat>
          <c:val>
            <c:numRef>
              <c:f>'NSWOS dem pair trawl seine'!$I$162:$K$162</c:f>
              <c:numCache>
                <c:formatCode>0%</c:formatCode>
                <c:ptCount val="3"/>
                <c:pt idx="0">
                  <c:v>0.23508114244402481</c:v>
                </c:pt>
                <c:pt idx="1">
                  <c:v>0.31945748842390231</c:v>
                </c:pt>
                <c:pt idx="2">
                  <c:v>0.32785249088241464</c:v>
                </c:pt>
              </c:numCache>
            </c:numRef>
          </c:val>
          <c:extLst>
            <c:ext xmlns:c16="http://schemas.microsoft.com/office/drawing/2014/chart" uri="{C3380CC4-5D6E-409C-BE32-E72D297353CC}">
              <c16:uniqueId val="{00000000-2438-4B88-BAFE-AD56DB3AF292}"/>
            </c:ext>
          </c:extLst>
        </c:ser>
        <c:ser>
          <c:idx val="1"/>
          <c:order val="1"/>
          <c:tx>
            <c:strRef>
              <c:f>'NSWOS dem pair trawl seine'!$H$163</c:f>
              <c:strCache>
                <c:ptCount val="1"/>
                <c:pt idx="0">
                  <c:v>Cod</c:v>
                </c:pt>
              </c:strCache>
            </c:strRef>
          </c:tx>
          <c:spPr>
            <a:solidFill>
              <a:srgbClr val="E87308"/>
            </a:solidFill>
            <a:ln>
              <a:solidFill>
                <a:srgbClr val="FFFFFF"/>
              </a:solidFill>
            </a:ln>
          </c:spPr>
          <c:invertIfNegative val="0"/>
          <c:cat>
            <c:strRef>
              <c:f>'NSWOS dem pair trawl seine'!$I$161:$K$161</c:f>
              <c:strCache>
                <c:ptCount val="3"/>
                <c:pt idx="0">
                  <c:v>Most
profitable
quartile</c:v>
                </c:pt>
                <c:pt idx="1">
                  <c:v>Middle 
two quartiles</c:v>
                </c:pt>
                <c:pt idx="2">
                  <c:v>Least
profitable
quartile</c:v>
                </c:pt>
              </c:strCache>
            </c:strRef>
          </c:cat>
          <c:val>
            <c:numRef>
              <c:f>'NSWOS dem pair trawl seine'!$I$163:$K$163</c:f>
              <c:numCache>
                <c:formatCode>0%</c:formatCode>
                <c:ptCount val="3"/>
                <c:pt idx="0">
                  <c:v>0.23886537462428387</c:v>
                </c:pt>
                <c:pt idx="1">
                  <c:v>0.27253842795575922</c:v>
                </c:pt>
                <c:pt idx="2">
                  <c:v>0.25431835423148341</c:v>
                </c:pt>
              </c:numCache>
            </c:numRef>
          </c:val>
          <c:extLst>
            <c:ext xmlns:c16="http://schemas.microsoft.com/office/drawing/2014/chart" uri="{C3380CC4-5D6E-409C-BE32-E72D297353CC}">
              <c16:uniqueId val="{00000001-2438-4B88-BAFE-AD56DB3AF292}"/>
            </c:ext>
          </c:extLst>
        </c:ser>
        <c:ser>
          <c:idx val="2"/>
          <c:order val="2"/>
          <c:tx>
            <c:strRef>
              <c:f>'NSWOS dem pair trawl seine'!$H$164</c:f>
              <c:strCache>
                <c:ptCount val="1"/>
                <c:pt idx="0">
                  <c:v>Whiting</c:v>
                </c:pt>
              </c:strCache>
            </c:strRef>
          </c:tx>
          <c:spPr>
            <a:solidFill>
              <a:srgbClr val="C1D119"/>
            </a:solidFill>
            <a:ln>
              <a:solidFill>
                <a:srgbClr val="FFFFFF"/>
              </a:solidFill>
            </a:ln>
          </c:spPr>
          <c:invertIfNegative val="0"/>
          <c:cat>
            <c:strRef>
              <c:f>'NSWOS dem pair trawl seine'!$I$161:$K$161</c:f>
              <c:strCache>
                <c:ptCount val="3"/>
                <c:pt idx="0">
                  <c:v>Most
profitable
quartile</c:v>
                </c:pt>
                <c:pt idx="1">
                  <c:v>Middle 
two quartiles</c:v>
                </c:pt>
                <c:pt idx="2">
                  <c:v>Least
profitable
quartile</c:v>
                </c:pt>
              </c:strCache>
            </c:strRef>
          </c:cat>
          <c:val>
            <c:numRef>
              <c:f>'NSWOS dem pair trawl seine'!$I$164:$K$164</c:f>
              <c:numCache>
                <c:formatCode>0%</c:formatCode>
                <c:ptCount val="3"/>
                <c:pt idx="0">
                  <c:v>9.2393562605441626E-2</c:v>
                </c:pt>
                <c:pt idx="1">
                  <c:v>0.12140121566477287</c:v>
                </c:pt>
                <c:pt idx="2">
                  <c:v>0.13914707245853239</c:v>
                </c:pt>
              </c:numCache>
            </c:numRef>
          </c:val>
          <c:extLst>
            <c:ext xmlns:c16="http://schemas.microsoft.com/office/drawing/2014/chart" uri="{C3380CC4-5D6E-409C-BE32-E72D297353CC}">
              <c16:uniqueId val="{00000002-2438-4B88-BAFE-AD56DB3AF292}"/>
            </c:ext>
          </c:extLst>
        </c:ser>
        <c:ser>
          <c:idx val="3"/>
          <c:order val="3"/>
          <c:tx>
            <c:strRef>
              <c:f>'NSWOS dem pair trawl seine'!$H$165</c:f>
              <c:strCache>
                <c:ptCount val="1"/>
                <c:pt idx="0">
                  <c:v>Hake</c:v>
                </c:pt>
              </c:strCache>
            </c:strRef>
          </c:tx>
          <c:spPr>
            <a:solidFill>
              <a:srgbClr val="648C2E"/>
            </a:solidFill>
            <a:ln>
              <a:solidFill>
                <a:srgbClr val="FFFFFF"/>
              </a:solidFill>
            </a:ln>
          </c:spPr>
          <c:invertIfNegative val="0"/>
          <c:cat>
            <c:strRef>
              <c:f>'NSWOS dem pair trawl seine'!$I$161:$K$161</c:f>
              <c:strCache>
                <c:ptCount val="3"/>
                <c:pt idx="0">
                  <c:v>Most
profitable
quartile</c:v>
                </c:pt>
                <c:pt idx="1">
                  <c:v>Middle 
two quartiles</c:v>
                </c:pt>
                <c:pt idx="2">
                  <c:v>Least
profitable
quartile</c:v>
                </c:pt>
              </c:strCache>
            </c:strRef>
          </c:cat>
          <c:val>
            <c:numRef>
              <c:f>'NSWOS dem pair trawl seine'!$I$165:$K$165</c:f>
              <c:numCache>
                <c:formatCode>0%</c:formatCode>
                <c:ptCount val="3"/>
                <c:pt idx="0">
                  <c:v>0.20209972274955926</c:v>
                </c:pt>
                <c:pt idx="1">
                  <c:v>0.10594288774490909</c:v>
                </c:pt>
                <c:pt idx="2">
                  <c:v>7.8450827210816185E-2</c:v>
                </c:pt>
              </c:numCache>
            </c:numRef>
          </c:val>
          <c:extLst>
            <c:ext xmlns:c16="http://schemas.microsoft.com/office/drawing/2014/chart" uri="{C3380CC4-5D6E-409C-BE32-E72D297353CC}">
              <c16:uniqueId val="{00000003-2438-4B88-BAFE-AD56DB3AF292}"/>
            </c:ext>
          </c:extLst>
        </c:ser>
        <c:ser>
          <c:idx val="4"/>
          <c:order val="4"/>
          <c:tx>
            <c:strRef>
              <c:f>'NSWOS dem pair trawl seine'!$H$166</c:f>
              <c:strCache>
                <c:ptCount val="1"/>
                <c:pt idx="0">
                  <c:v>Saithe</c:v>
                </c:pt>
              </c:strCache>
            </c:strRef>
          </c:tx>
          <c:spPr>
            <a:solidFill>
              <a:srgbClr val="E84A38"/>
            </a:solidFill>
            <a:ln>
              <a:solidFill>
                <a:srgbClr val="FFFFFF"/>
              </a:solidFill>
            </a:ln>
          </c:spPr>
          <c:invertIfNegative val="0"/>
          <c:cat>
            <c:strRef>
              <c:f>'NSWOS dem pair trawl seine'!$I$161:$K$161</c:f>
              <c:strCache>
                <c:ptCount val="3"/>
                <c:pt idx="0">
                  <c:v>Most
profitable
quartile</c:v>
                </c:pt>
                <c:pt idx="1">
                  <c:v>Middle 
two quartiles</c:v>
                </c:pt>
                <c:pt idx="2">
                  <c:v>Least
profitable
quartile</c:v>
                </c:pt>
              </c:strCache>
            </c:strRef>
          </c:cat>
          <c:val>
            <c:numRef>
              <c:f>'NSWOS dem pair trawl seine'!$I$166:$K$166</c:f>
              <c:numCache>
                <c:formatCode>0%</c:formatCode>
                <c:ptCount val="3"/>
                <c:pt idx="0">
                  <c:v>0.12979914622078054</c:v>
                </c:pt>
                <c:pt idx="1">
                  <c:v>0.10540155641287043</c:v>
                </c:pt>
                <c:pt idx="2">
                  <c:v>7.0202693141262387E-2</c:v>
                </c:pt>
              </c:numCache>
            </c:numRef>
          </c:val>
          <c:extLst>
            <c:ext xmlns:c16="http://schemas.microsoft.com/office/drawing/2014/chart" uri="{C3380CC4-5D6E-409C-BE32-E72D297353CC}">
              <c16:uniqueId val="{00000004-2438-4B88-BAFE-AD56DB3AF292}"/>
            </c:ext>
          </c:extLst>
        </c:ser>
        <c:ser>
          <c:idx val="5"/>
          <c:order val="5"/>
          <c:tx>
            <c:strRef>
              <c:f>'NSWOS dem pair trawl seine'!$H$167</c:f>
              <c:strCache>
                <c:ptCount val="1"/>
                <c:pt idx="0">
                  <c:v>Others</c:v>
                </c:pt>
              </c:strCache>
            </c:strRef>
          </c:tx>
          <c:spPr>
            <a:solidFill>
              <a:srgbClr val="55585A"/>
            </a:solidFill>
            <a:ln>
              <a:solidFill>
                <a:srgbClr val="FFFFFF"/>
              </a:solidFill>
            </a:ln>
          </c:spPr>
          <c:invertIfNegative val="0"/>
          <c:cat>
            <c:strRef>
              <c:f>'NSWOS dem pair trawl seine'!$I$161:$K$161</c:f>
              <c:strCache>
                <c:ptCount val="3"/>
                <c:pt idx="0">
                  <c:v>Most
profitable
quartile</c:v>
                </c:pt>
                <c:pt idx="1">
                  <c:v>Middle 
two quartiles</c:v>
                </c:pt>
                <c:pt idx="2">
                  <c:v>Least
profitable
quartile</c:v>
                </c:pt>
              </c:strCache>
            </c:strRef>
          </c:cat>
          <c:val>
            <c:numRef>
              <c:f>'NSWOS dem pair trawl seine'!$I$167:$K$167</c:f>
              <c:numCache>
                <c:formatCode>0%</c:formatCode>
                <c:ptCount val="3"/>
                <c:pt idx="0">
                  <c:v>0.10176105135590985</c:v>
                </c:pt>
                <c:pt idx="1">
                  <c:v>7.5258423797786023E-2</c:v>
                </c:pt>
                <c:pt idx="2">
                  <c:v>0.13002856207549096</c:v>
                </c:pt>
              </c:numCache>
            </c:numRef>
          </c:val>
          <c:extLst>
            <c:ext xmlns:c16="http://schemas.microsoft.com/office/drawing/2014/chart" uri="{C3380CC4-5D6E-409C-BE32-E72D297353CC}">
              <c16:uniqueId val="{00000005-2438-4B88-BAFE-AD56DB3AF292}"/>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'NSWOS dem pair trawl seine'!$K$139</c:f>
              <c:strCache>
                <c:ptCount val="1"/>
                <c:pt idx="0">
                  <c:v>Total income</c:v>
                </c:pt>
              </c:strCache>
            </c:strRef>
          </c:tx>
          <c:spPr>
            <a:solidFill>
              <a:srgbClr val="087CBB"/>
            </a:solidFill>
            <a:ln>
              <a:solidFill>
                <a:schemeClr val="accent1"/>
              </a:solidFill>
            </a:ln>
          </c:spPr>
          <c:invertIfNegative val="0"/>
          <c:cat>
            <c:strRef>
              <c:f>'NSWOS dem pair trawl seine'!$L$138:$N$138</c:f>
              <c:strCache>
                <c:ptCount val="3"/>
                <c:pt idx="0">
                  <c:v>Most
profitable
quartile</c:v>
                </c:pt>
                <c:pt idx="1">
                  <c:v>Middle
two quartiles</c:v>
                </c:pt>
                <c:pt idx="2">
                  <c:v>Least
profitable
quartile</c:v>
                </c:pt>
              </c:strCache>
            </c:strRef>
          </c:cat>
          <c:val>
            <c:numRef>
              <c:f>'NSWOS dem pair trawl seine'!$L$139:$N$139</c:f>
              <c:numCache>
                <c:formatCode>#,##0</c:formatCode>
                <c:ptCount val="3"/>
                <c:pt idx="0">
                  <c:v>3528.5455000000002</c:v>
                </c:pt>
                <c:pt idx="1">
                  <c:v>1874.8643295454499</c:v>
                </c:pt>
                <c:pt idx="2">
                  <c:v>1459.4994999999999</c:v>
                </c:pt>
              </c:numCache>
            </c:numRef>
          </c:val>
          <c:extLst>
            <c:ext xmlns:c16="http://schemas.microsoft.com/office/drawing/2014/chart" uri="{C3380CC4-5D6E-409C-BE32-E72D297353CC}">
              <c16:uniqueId val="{00000000-74D9-40D8-9947-244A19BEF587}"/>
            </c:ext>
          </c:extLst>
        </c:ser>
        <c:ser>
          <c:idx val="1"/>
          <c:order val="1"/>
          <c:tx>
            <c:strRef>
              <c:f>'NSWOS dem pair trawl seine'!$K$140</c:f>
              <c:strCache>
                <c:ptCount val="1"/>
                <c:pt idx="0">
                  <c:v>Operating costs</c:v>
                </c:pt>
              </c:strCache>
            </c:strRef>
          </c:tx>
          <c:spPr>
            <a:solidFill>
              <a:srgbClr val="E87308"/>
            </a:solidFill>
          </c:spPr>
          <c:invertIfNegative val="0"/>
          <c:cat>
            <c:strRef>
              <c:f>'NSWOS dem pair trawl seine'!$L$138:$N$138</c:f>
              <c:strCache>
                <c:ptCount val="3"/>
                <c:pt idx="0">
                  <c:v>Most
profitable
quartile</c:v>
                </c:pt>
                <c:pt idx="1">
                  <c:v>Middle
two quartiles</c:v>
                </c:pt>
                <c:pt idx="2">
                  <c:v>Least
profitable
quartile</c:v>
                </c:pt>
              </c:strCache>
            </c:strRef>
          </c:cat>
          <c:val>
            <c:numRef>
              <c:f>'NSWOS dem pair trawl seine'!$L$140:$N$140</c:f>
              <c:numCache>
                <c:formatCode>#,##0</c:formatCode>
                <c:ptCount val="3"/>
                <c:pt idx="0">
                  <c:v>3017.2489999999998</c:v>
                </c:pt>
                <c:pt idx="1">
                  <c:v>1645.8943295454501</c:v>
                </c:pt>
                <c:pt idx="2">
                  <c:v>1334.254375</c:v>
                </c:pt>
              </c:numCache>
            </c:numRef>
          </c:val>
          <c:extLst>
            <c:ext xmlns:c16="http://schemas.microsoft.com/office/drawing/2014/chart" uri="{C3380CC4-5D6E-409C-BE32-E72D297353CC}">
              <c16:uniqueId val="{00000001-74D9-40D8-9947-244A19BEF587}"/>
            </c:ext>
          </c:extLst>
        </c:ser>
        <c:ser>
          <c:idx val="2"/>
          <c:order val="2"/>
          <c:tx>
            <c:strRef>
              <c:f>'NSWOS dem pair trawl seine'!$K$141</c:f>
              <c:strCache>
                <c:ptCount val="1"/>
                <c:pt idx="0">
                  <c:v>Operating profit</c:v>
                </c:pt>
              </c:strCache>
            </c:strRef>
          </c:tx>
          <c:spPr>
            <a:solidFill>
              <a:srgbClr val="51AA81"/>
            </a:solidFill>
          </c:spPr>
          <c:invertIfNegative val="0"/>
          <c:cat>
            <c:strRef>
              <c:f>'NSWOS dem pair trawl seine'!$L$138:$N$138</c:f>
              <c:strCache>
                <c:ptCount val="3"/>
                <c:pt idx="0">
                  <c:v>Most
profitable
quartile</c:v>
                </c:pt>
                <c:pt idx="1">
                  <c:v>Middle
two quartiles</c:v>
                </c:pt>
                <c:pt idx="2">
                  <c:v>Least
profitable
quartile</c:v>
                </c:pt>
              </c:strCache>
            </c:strRef>
          </c:cat>
          <c:val>
            <c:numRef>
              <c:f>'NSWOS dem pair trawl seine'!$L$141:$N$141</c:f>
              <c:numCache>
                <c:formatCode>#,##0</c:formatCode>
                <c:ptCount val="3"/>
                <c:pt idx="0">
                  <c:v>511.29649999999998</c:v>
                </c:pt>
                <c:pt idx="1">
                  <c:v>228.97</c:v>
                </c:pt>
                <c:pt idx="2">
                  <c:v>125.245125</c:v>
                </c:pt>
              </c:numCache>
            </c:numRef>
          </c:val>
          <c:extLst>
            <c:ext xmlns:c16="http://schemas.microsoft.com/office/drawing/2014/chart" uri="{C3380CC4-5D6E-409C-BE32-E72D297353CC}">
              <c16:uniqueId val="{00000002-74D9-40D8-9947-244A19BEF587}"/>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'NSWOS dem pair trawl seine'!$K$142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seiners'!$A$48</c:f>
          <c:strCache>
            <c:ptCount val="1"/>
            <c:pt idx="0">
              <c:v>Landings per kW day at sea (kg)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3685-4016-B8D0-FD517EED9A7D}"/>
              </c:ext>
            </c:extLst>
          </c:dPt>
          <c:dPt>
            <c:idx val="10"/>
            <c:bubble3D val="0"/>
            <c:spPr>
              <a:ln w="57150">
                <a:solidFill>
                  <a:srgbClr val="2273B9"/>
                </a:solidFill>
                <a:prstDash val="sysDot"/>
              </a:ln>
            </c:spPr>
            <c:extLst>
              <c:ext xmlns:c16="http://schemas.microsoft.com/office/drawing/2014/chart" uri="{C3380CC4-5D6E-409C-BE32-E72D297353CC}">
                <c16:uniqueId val="{00000003-3685-4016-B8D0-FD517EED9A7D}"/>
              </c:ext>
            </c:extLst>
          </c:dPt>
          <c:cat>
            <c:numRef>
              <c:f>'NSWOS demersal seiners'!$D$2:$N$2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'NSWOS demersal seiners'!$D$21:$N$21</c:f>
              <c:numCache>
                <c:formatCode>#,##0.00</c:formatCode>
                <c:ptCount val="11"/>
                <c:pt idx="0">
                  <c:v>8.494813878483118</c:v>
                </c:pt>
                <c:pt idx="1">
                  <c:v>8.4982661584921182</c:v>
                </c:pt>
                <c:pt idx="2">
                  <c:v>11.529568433337364</c:v>
                </c:pt>
                <c:pt idx="3">
                  <c:v>8.9154712208699785</c:v>
                </c:pt>
                <c:pt idx="4">
                  <c:v>10.202824663731205</c:v>
                </c:pt>
                <c:pt idx="5">
                  <c:v>9.4220250944414463</c:v>
                </c:pt>
                <c:pt idx="6">
                  <c:v>9.8505721695795074</c:v>
                </c:pt>
                <c:pt idx="7">
                  <c:v>8.5963399164467056</c:v>
                </c:pt>
                <c:pt idx="8">
                  <c:v>10.872289145496374</c:v>
                </c:pt>
                <c:pt idx="9">
                  <c:v>7.8429870538179509</c:v>
                </c:pt>
                <c:pt idx="10">
                  <c:v>4.6394150070321656</c:v>
                </c:pt>
              </c:numCache>
            </c:numRef>
          </c:val>
          <c:smooth val="0"/>
          <c:extLst>
            <c:ext xmlns:c16="http://schemas.microsoft.com/office/drawing/2014/chart" uri="{C3380CC4-5D6E-409C-BE32-E72D297353CC}">
              <c16:uniqueId val="{00000004-3685-4016-B8D0-FD517EED9A7D}"/>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seiners'!$A$49</c:f>
          <c:strCache>
            <c:ptCount val="1"/>
            <c:pt idx="0">
              <c:v>Fishing income per kW day at sea (£)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EE46-46C6-831A-CA0EACAF652B}"/>
              </c:ext>
            </c:extLst>
          </c:dPt>
          <c:dPt>
            <c:idx val="10"/>
            <c:bubble3D val="0"/>
            <c:spPr>
              <a:ln w="57150">
                <a:solidFill>
                  <a:srgbClr val="648C2E"/>
                </a:solidFill>
                <a:prstDash val="sysDot"/>
              </a:ln>
            </c:spPr>
            <c:extLst>
              <c:ext xmlns:c16="http://schemas.microsoft.com/office/drawing/2014/chart" uri="{C3380CC4-5D6E-409C-BE32-E72D297353CC}">
                <c16:uniqueId val="{00000003-EE46-46C6-831A-CA0EACAF652B}"/>
              </c:ext>
            </c:extLst>
          </c:dPt>
          <c:cat>
            <c:numRef>
              <c:f>'NSWOS demersal seiners'!$D$2:$N$2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'NSWOS demersal seiners'!$D$22:$N$22</c:f>
              <c:numCache>
                <c:formatCode>#,##0.00</c:formatCode>
                <c:ptCount val="11"/>
                <c:pt idx="0">
                  <c:v>13.817370688690801</c:v>
                </c:pt>
                <c:pt idx="1">
                  <c:v>15.2254626525558</c:v>
                </c:pt>
                <c:pt idx="2">
                  <c:v>17.502373078359</c:v>
                </c:pt>
                <c:pt idx="3">
                  <c:v>13.6931032367751</c:v>
                </c:pt>
                <c:pt idx="4">
                  <c:v>17.101735945061598</c:v>
                </c:pt>
                <c:pt idx="5">
                  <c:v>15.6330396114409</c:v>
                </c:pt>
                <c:pt idx="6">
                  <c:v>17.2801974656415</c:v>
                </c:pt>
                <c:pt idx="7">
                  <c:v>15.8627031427313</c:v>
                </c:pt>
                <c:pt idx="8">
                  <c:v>19.4799086196623</c:v>
                </c:pt>
                <c:pt idx="9">
                  <c:v>15.1249125668879</c:v>
                </c:pt>
                <c:pt idx="10">
                  <c:v>7.4962598629099215</c:v>
                </c:pt>
              </c:numCache>
            </c:numRef>
          </c:val>
          <c:smooth val="0"/>
          <c:extLst>
            <c:ext xmlns:c16="http://schemas.microsoft.com/office/drawing/2014/chart" uri="{C3380CC4-5D6E-409C-BE32-E72D297353CC}">
              <c16:uniqueId val="{00000004-EE46-46C6-831A-CA0EACAF652B}"/>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seiners'!$B$62</c:f>
          <c:strCache>
            <c:ptCount val="1"/>
            <c:pt idx="0">
              <c:v>Total cost per kW day at sea (£)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B372-418A-9412-311219447322}"/>
              </c:ext>
            </c:extLst>
          </c:dPt>
          <c:dPt>
            <c:idx val="10"/>
            <c:bubble3D val="0"/>
            <c:spPr>
              <a:ln w="57150">
                <a:solidFill>
                  <a:srgbClr val="087CBB"/>
                </a:solidFill>
                <a:prstDash val="sysDot"/>
              </a:ln>
            </c:spPr>
            <c:extLst>
              <c:ext xmlns:c16="http://schemas.microsoft.com/office/drawing/2014/chart" uri="{C3380CC4-5D6E-409C-BE32-E72D297353CC}">
                <c16:uniqueId val="{00000003-B372-418A-9412-311219447322}"/>
              </c:ext>
            </c:extLst>
          </c:dPt>
          <c:cat>
            <c:numRef>
              <c:f>'NSWOS demersal seiners'!$D$2:$N$2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'NSWOS demersal seiners'!$D$23:$N$23</c:f>
              <c:numCache>
                <c:formatCode>#,##0.00</c:formatCode>
                <c:ptCount val="11"/>
                <c:pt idx="0">
                  <c:v>11.1857883384576</c:v>
                </c:pt>
                <c:pt idx="1">
                  <c:v>12.057975703015201</c:v>
                </c:pt>
                <c:pt idx="2">
                  <c:v>16.005734869610102</c:v>
                </c:pt>
                <c:pt idx="3">
                  <c:v>12.727386157078801</c:v>
                </c:pt>
                <c:pt idx="4">
                  <c:v>14.2137483844242</c:v>
                </c:pt>
                <c:pt idx="5">
                  <c:v>14.0396002158662</c:v>
                </c:pt>
                <c:pt idx="6">
                  <c:v>14.438732240549101</c:v>
                </c:pt>
                <c:pt idx="7">
                  <c:v>12.6292699525521</c:v>
                </c:pt>
                <c:pt idx="8">
                  <c:v>15.115104148595901</c:v>
                </c:pt>
                <c:pt idx="9">
                  <c:v>13.8415206629632</c:v>
                </c:pt>
                <c:pt idx="10">
                  <c:v>6.7865872228489312</c:v>
                </c:pt>
              </c:numCache>
            </c:numRef>
          </c:val>
          <c:smooth val="0"/>
          <c:extLst>
            <c:ext xmlns:c16="http://schemas.microsoft.com/office/drawing/2014/chart" uri="{C3380CC4-5D6E-409C-BE32-E72D297353CC}">
              <c16:uniqueId val="{00000004-B372-418A-9412-311219447322}"/>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seiners'!$K$48</c:f>
          <c:strCache>
            <c:ptCount val="1"/>
            <c:pt idx="0">
              <c:v>Operating profit per kW day at sea (£)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40F9-43E4-88F6-4BBD8BA8CFFF}"/>
              </c:ext>
            </c:extLst>
          </c:dPt>
          <c:dPt>
            <c:idx val="10"/>
            <c:bubble3D val="0"/>
            <c:spPr>
              <a:ln w="57150">
                <a:solidFill>
                  <a:schemeClr val="accent3"/>
                </a:solidFill>
                <a:prstDash val="sysDot"/>
              </a:ln>
            </c:spPr>
            <c:extLst>
              <c:ext xmlns:c16="http://schemas.microsoft.com/office/drawing/2014/chart" uri="{C3380CC4-5D6E-409C-BE32-E72D297353CC}">
                <c16:uniqueId val="{00000003-40F9-43E4-88F6-4BBD8BA8CFFF}"/>
              </c:ext>
            </c:extLst>
          </c:dPt>
          <c:cat>
            <c:numRef>
              <c:f>'NSWOS demersal seiners'!$D$2:$N$2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'NSWOS demersal seiners'!$D$24:$N$24</c:f>
              <c:numCache>
                <c:formatCode>#,##0.00</c:formatCode>
                <c:ptCount val="11"/>
                <c:pt idx="0">
                  <c:v>2.8168500632683098</c:v>
                </c:pt>
                <c:pt idx="1">
                  <c:v>3.54768558696348</c:v>
                </c:pt>
                <c:pt idx="2">
                  <c:v>3.6439757191388602</c:v>
                </c:pt>
                <c:pt idx="3">
                  <c:v>2.7071257344535899</c:v>
                </c:pt>
                <c:pt idx="4">
                  <c:v>4.45449545498973</c:v>
                </c:pt>
                <c:pt idx="5">
                  <c:v>3.9072531030760902</c:v>
                </c:pt>
                <c:pt idx="6">
                  <c:v>4.0920219410060303</c:v>
                </c:pt>
                <c:pt idx="7">
                  <c:v>4.3759106183629797</c:v>
                </c:pt>
                <c:pt idx="8">
                  <c:v>5.4580939807183597</c:v>
                </c:pt>
                <c:pt idx="9">
                  <c:v>1.8954727306904</c:v>
                </c:pt>
                <c:pt idx="10">
                  <c:v>1.1336501593661741</c:v>
                </c:pt>
              </c:numCache>
            </c:numRef>
          </c:val>
          <c:smooth val="0"/>
          <c:extLst>
            <c:ext xmlns:c16="http://schemas.microsoft.com/office/drawing/2014/chart" uri="{C3380CC4-5D6E-409C-BE32-E72D297353CC}">
              <c16:uniqueId val="{00000004-40F9-43E4-88F6-4BBD8BA8CFFF}"/>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seiners'!$A$50</c:f>
          <c:strCache>
            <c:ptCount val="1"/>
            <c:pt idx="0">
              <c:v>Average price per tonne landed (£)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7DE5-4906-87AB-5699D8A3C031}"/>
              </c:ext>
            </c:extLst>
          </c:dPt>
          <c:dPt>
            <c:idx val="10"/>
            <c:bubble3D val="0"/>
            <c:spPr>
              <a:ln w="57150">
                <a:solidFill>
                  <a:schemeClr val="accent4"/>
                </a:solidFill>
                <a:prstDash val="sysDot"/>
              </a:ln>
            </c:spPr>
            <c:extLst>
              <c:ext xmlns:c16="http://schemas.microsoft.com/office/drawing/2014/chart" uri="{C3380CC4-5D6E-409C-BE32-E72D297353CC}">
                <c16:uniqueId val="{00000003-7DE5-4906-87AB-5699D8A3C031}"/>
              </c:ext>
            </c:extLst>
          </c:dPt>
          <c:cat>
            <c:numRef>
              <c:f>'NSWOS demersal seiners'!$D$2:$M$2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'NSWOS demersal seiners'!$D$20:$N$20</c:f>
              <c:numCache>
                <c:formatCode>#,##0</c:formatCode>
                <c:ptCount val="11"/>
                <c:pt idx="0">
                  <c:v>1627</c:v>
                </c:pt>
                <c:pt idx="1">
                  <c:v>1792</c:v>
                </c:pt>
                <c:pt idx="2">
                  <c:v>1518</c:v>
                </c:pt>
                <c:pt idx="3">
                  <c:v>1536</c:v>
                </c:pt>
                <c:pt idx="4">
                  <c:v>1676</c:v>
                </c:pt>
                <c:pt idx="5">
                  <c:v>1659</c:v>
                </c:pt>
                <c:pt idx="6">
                  <c:v>1754</c:v>
                </c:pt>
                <c:pt idx="7">
                  <c:v>1845</c:v>
                </c:pt>
                <c:pt idx="8">
                  <c:v>1792</c:v>
                </c:pt>
                <c:pt idx="9">
                  <c:v>1928</c:v>
                </c:pt>
                <c:pt idx="10">
                  <c:v>1616</c:v>
                </c:pt>
              </c:numCache>
            </c:numRef>
          </c:val>
          <c:smooth val="0"/>
          <c:extLst>
            <c:ext xmlns:c16="http://schemas.microsoft.com/office/drawing/2014/chart" uri="{C3380CC4-5D6E-409C-BE32-E72D297353CC}">
              <c16:uniqueId val="{00000004-7DE5-4906-87AB-5699D8A3C031}"/>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seiners'!$K$62</c:f>
          <c:strCache>
            <c:ptCount val="1"/>
            <c:pt idx="0">
              <c:v>Average annual operating profit per vessel (£'000)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424F-4FC8-9369-575DCCF10828}"/>
              </c:ext>
            </c:extLst>
          </c:dPt>
          <c:dPt>
            <c:idx val="10"/>
            <c:bubble3D val="0"/>
            <c:spPr>
              <a:ln w="57150">
                <a:solidFill>
                  <a:schemeClr val="accent5"/>
                </a:solidFill>
                <a:prstDash val="sysDot"/>
              </a:ln>
            </c:spPr>
            <c:extLst>
              <c:ext xmlns:c16="http://schemas.microsoft.com/office/drawing/2014/chart" uri="{C3380CC4-5D6E-409C-BE32-E72D297353CC}">
                <c16:uniqueId val="{00000003-424F-4FC8-9369-575DCCF10828}"/>
              </c:ext>
            </c:extLst>
          </c:dPt>
          <c:cat>
            <c:numRef>
              <c:f>'NSWOS demersal seiners'!$D$2:$M$2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'NSWOS demersal seiners'!$D$37:$N$37</c:f>
              <c:numCache>
                <c:formatCode>#,##0.0</c:formatCode>
                <c:ptCount val="11"/>
                <c:pt idx="0">
                  <c:v>146.1</c:v>
                </c:pt>
                <c:pt idx="1">
                  <c:v>226.8</c:v>
                </c:pt>
                <c:pt idx="2">
                  <c:v>195.6</c:v>
                </c:pt>
                <c:pt idx="3">
                  <c:v>207.2</c:v>
                </c:pt>
                <c:pt idx="4">
                  <c:v>312.3</c:v>
                </c:pt>
                <c:pt idx="5">
                  <c:v>282.8</c:v>
                </c:pt>
                <c:pt idx="6">
                  <c:v>299.8</c:v>
                </c:pt>
                <c:pt idx="7">
                  <c:v>425.6</c:v>
                </c:pt>
                <c:pt idx="8">
                  <c:v>425.2</c:v>
                </c:pt>
                <c:pt idx="9">
                  <c:v>227.7</c:v>
                </c:pt>
                <c:pt idx="10">
                  <c:v>165.70000000000002</c:v>
                </c:pt>
              </c:numCache>
            </c:numRef>
          </c:val>
          <c:smooth val="0"/>
          <c:extLst>
            <c:ext xmlns:c16="http://schemas.microsoft.com/office/drawing/2014/chart" uri="{C3380CC4-5D6E-409C-BE32-E72D297353CC}">
              <c16:uniqueId val="{00000004-424F-4FC8-9369-575DCCF10828}"/>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seiners'!$A$76</c:f>
          <c:strCache>
            <c:ptCount val="1"/>
            <c:pt idx="0">
              <c:v>Top 5 landed species by volume in 2019
NSWOS demersal seiners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224F-4163-8DEB-9C33EF5ECA0D}"/>
              </c:ext>
            </c:extLst>
          </c:dPt>
          <c:dPt>
            <c:idx val="1"/>
            <c:bubble3D val="0"/>
            <c:spPr>
              <a:solidFill>
                <a:srgbClr val="648C2E"/>
              </a:solidFill>
              <a:ln>
                <a:solidFill>
                  <a:srgbClr val="FFFFFF"/>
                </a:solidFill>
              </a:ln>
            </c:spPr>
            <c:extLst>
              <c:ext xmlns:c16="http://schemas.microsoft.com/office/drawing/2014/chart" uri="{C3380CC4-5D6E-409C-BE32-E72D297353CC}">
                <c16:uniqueId val="{00000003-224F-4163-8DEB-9C33EF5ECA0D}"/>
              </c:ext>
            </c:extLst>
          </c:dPt>
          <c:dPt>
            <c:idx val="2"/>
            <c:bubble3D val="0"/>
            <c:spPr>
              <a:solidFill>
                <a:srgbClr val="E87308"/>
              </a:solidFill>
              <a:ln>
                <a:solidFill>
                  <a:srgbClr val="FFFFFF"/>
                </a:solidFill>
              </a:ln>
            </c:spPr>
            <c:extLst>
              <c:ext xmlns:c16="http://schemas.microsoft.com/office/drawing/2014/chart" uri="{C3380CC4-5D6E-409C-BE32-E72D297353CC}">
                <c16:uniqueId val="{00000005-224F-4163-8DEB-9C33EF5ECA0D}"/>
              </c:ext>
            </c:extLst>
          </c:dPt>
          <c:dPt>
            <c:idx val="3"/>
            <c:bubble3D val="0"/>
            <c:spPr>
              <a:solidFill>
                <a:srgbClr val="C1D119"/>
              </a:solidFill>
              <a:ln>
                <a:solidFill>
                  <a:srgbClr val="FFFFFF"/>
                </a:solidFill>
              </a:ln>
            </c:spPr>
            <c:extLst>
              <c:ext xmlns:c16="http://schemas.microsoft.com/office/drawing/2014/chart" uri="{C3380CC4-5D6E-409C-BE32-E72D297353CC}">
                <c16:uniqueId val="{00000007-224F-4163-8DEB-9C33EF5ECA0D}"/>
              </c:ext>
            </c:extLst>
          </c:dPt>
          <c:dPt>
            <c:idx val="4"/>
            <c:bubble3D val="0"/>
            <c:spPr>
              <a:solidFill>
                <a:srgbClr val="0F9AA9"/>
              </a:solidFill>
              <a:ln>
                <a:solidFill>
                  <a:srgbClr val="FFFFFF"/>
                </a:solidFill>
              </a:ln>
            </c:spPr>
            <c:extLst>
              <c:ext xmlns:c16="http://schemas.microsoft.com/office/drawing/2014/chart" uri="{C3380CC4-5D6E-409C-BE32-E72D297353CC}">
                <c16:uniqueId val="{00000009-224F-4163-8DEB-9C33EF5ECA0D}"/>
              </c:ext>
            </c:extLst>
          </c:dPt>
          <c:dPt>
            <c:idx val="5"/>
            <c:bubble3D val="0"/>
            <c:spPr>
              <a:solidFill>
                <a:srgbClr val="55585A"/>
              </a:solidFill>
              <a:ln>
                <a:solidFill>
                  <a:srgbClr val="FFFFFF"/>
                </a:solidFill>
              </a:ln>
            </c:spPr>
            <c:extLst>
              <c:ext xmlns:c16="http://schemas.microsoft.com/office/drawing/2014/chart" uri="{C3380CC4-5D6E-409C-BE32-E72D297353CC}">
                <c16:uniqueId val="{0000000B-224F-4163-8DEB-9C33EF5ECA0D}"/>
              </c:ext>
            </c:extLst>
          </c:dPt>
          <c:cat>
            <c:strRef>
              <c:f>'NSWOS demersal seiners'!$B$77:$B$82</c:f>
              <c:strCache>
                <c:ptCount val="6"/>
                <c:pt idx="0">
                  <c:v>Haddock - 33.0%</c:v>
                </c:pt>
                <c:pt idx="1">
                  <c:v>Whiting - 19.6%</c:v>
                </c:pt>
                <c:pt idx="2">
                  <c:v>Cod - 15.4%</c:v>
                </c:pt>
                <c:pt idx="3">
                  <c:v>Hake - 7.2%</c:v>
                </c:pt>
                <c:pt idx="4">
                  <c:v>Saithe - 5.4%</c:v>
                </c:pt>
                <c:pt idx="5">
                  <c:v>Others - 19.4%</c:v>
                </c:pt>
              </c:strCache>
            </c:strRef>
          </c:cat>
          <c:val>
            <c:numRef>
              <c:f>'NSWOS demersal seiners'!$C$77:$C$82</c:f>
              <c:numCache>
                <c:formatCode>0.0%</c:formatCode>
                <c:ptCount val="6"/>
                <c:pt idx="0">
                  <c:v>0.33040963753364333</c:v>
                </c:pt>
                <c:pt idx="1">
                  <c:v>0.19637799465261033</c:v>
                </c:pt>
                <c:pt idx="2">
                  <c:v>0.15377614134796602</c:v>
                </c:pt>
                <c:pt idx="3">
                  <c:v>7.214265849040831E-2</c:v>
                </c:pt>
                <c:pt idx="4">
                  <c:v>5.3758072490309533E-2</c:v>
                </c:pt>
                <c:pt idx="5">
                  <c:v>0.19353549548506244</c:v>
                </c:pt>
              </c:numCache>
            </c:numRef>
          </c:val>
          <c:extLst>
            <c:ext xmlns:c16="http://schemas.microsoft.com/office/drawing/2014/chart" uri="{C3380CC4-5D6E-409C-BE32-E72D297353CC}">
              <c16:uniqueId val="{0000000C-224F-4163-8DEB-9C33EF5ECA0D}"/>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trawl'!$A$49</c:f>
          <c:strCache>
            <c:ptCount val="1"/>
            <c:pt idx="0">
              <c:v>Fishing income per kW day at sea (£)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4026-41DD-B529-77E4DEDBBF2B}"/>
              </c:ext>
            </c:extLst>
          </c:dPt>
          <c:dPt>
            <c:idx val="10"/>
            <c:bubble3D val="0"/>
            <c:spPr>
              <a:ln w="57150">
                <a:solidFill>
                  <a:srgbClr val="648C2E"/>
                </a:solidFill>
                <a:prstDash val="sysDot"/>
              </a:ln>
            </c:spPr>
            <c:extLst>
              <c:ext xmlns:c16="http://schemas.microsoft.com/office/drawing/2014/chart" uri="{C3380CC4-5D6E-409C-BE32-E72D297353CC}">
                <c16:uniqueId val="{00000003-4026-41DD-B529-77E4DEDBBF2B}"/>
              </c:ext>
            </c:extLst>
          </c:dPt>
          <c:cat>
            <c:numRef>
              <c:f>'Area VIIa demersal trawl'!$D$2:$N$2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'Area VIIa demersal trawl'!$D$22:$N$22</c:f>
              <c:numCache>
                <c:formatCode>#,##0.00</c:formatCode>
                <c:ptCount val="11"/>
                <c:pt idx="0">
                  <c:v>5.4935290430768804</c:v>
                </c:pt>
                <c:pt idx="1">
                  <c:v>5.7453772974016299</c:v>
                </c:pt>
                <c:pt idx="2">
                  <c:v>8.3818785628458095</c:v>
                </c:pt>
                <c:pt idx="3">
                  <c:v>7.1117250662215197</c:v>
                </c:pt>
                <c:pt idx="4">
                  <c:v>7.9996727025952099</c:v>
                </c:pt>
                <c:pt idx="5">
                  <c:v>7.4830942751820704</c:v>
                </c:pt>
                <c:pt idx="6">
                  <c:v>8.2750637470466799</c:v>
                </c:pt>
                <c:pt idx="7">
                  <c:v>7.7390961605074802</c:v>
                </c:pt>
                <c:pt idx="8">
                  <c:v>7.63269203486447</c:v>
                </c:pt>
                <c:pt idx="9">
                  <c:v>7.2052800233229197</c:v>
                </c:pt>
                <c:pt idx="10">
                  <c:v>4.2510756818473201</c:v>
                </c:pt>
              </c:numCache>
            </c:numRef>
          </c:val>
          <c:smooth val="0"/>
          <c:extLst>
            <c:ext xmlns:c16="http://schemas.microsoft.com/office/drawing/2014/chart" uri="{C3380CC4-5D6E-409C-BE32-E72D297353CC}">
              <c16:uniqueId val="{00000004-4026-41DD-B529-77E4DEDBBF2B}"/>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o250kW'!$F$76</c:f>
          <c:strCache>
            <c:ptCount val="1"/>
            <c:pt idx="0">
              <c:v>Top 5 landed species by value in 2019
Area VIIA nephrops over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E22E-4523-91AB-E99BF27FEF31}"/>
              </c:ext>
            </c:extLst>
          </c:dPt>
          <c:dPt>
            <c:idx val="1"/>
            <c:bubble3D val="0"/>
            <c:spPr>
              <a:solidFill>
                <a:srgbClr val="E87308"/>
              </a:solidFill>
              <a:ln>
                <a:solidFill>
                  <a:srgbClr val="FFFFFF"/>
                </a:solidFill>
              </a:ln>
            </c:spPr>
            <c:extLst>
              <c:ext xmlns:c16="http://schemas.microsoft.com/office/drawing/2014/chart" uri="{C3380CC4-5D6E-409C-BE32-E72D297353CC}">
                <c16:uniqueId val="{00000003-E22E-4523-91AB-E99BF27FEF31}"/>
              </c:ext>
            </c:extLst>
          </c:dPt>
          <c:dPt>
            <c:idx val="2"/>
            <c:bubble3D val="0"/>
            <c:spPr>
              <a:solidFill>
                <a:srgbClr val="648C2E"/>
              </a:solidFill>
              <a:ln>
                <a:solidFill>
                  <a:srgbClr val="FFFFFF"/>
                </a:solidFill>
              </a:ln>
            </c:spPr>
            <c:extLst>
              <c:ext xmlns:c16="http://schemas.microsoft.com/office/drawing/2014/chart" uri="{C3380CC4-5D6E-409C-BE32-E72D297353CC}">
                <c16:uniqueId val="{00000005-E22E-4523-91AB-E99BF27FEF31}"/>
              </c:ext>
            </c:extLst>
          </c:dPt>
          <c:dPt>
            <c:idx val="3"/>
            <c:bubble3D val="0"/>
            <c:spPr>
              <a:solidFill>
                <a:srgbClr val="C1D119"/>
              </a:solidFill>
              <a:ln>
                <a:solidFill>
                  <a:srgbClr val="FFFFFF"/>
                </a:solidFill>
              </a:ln>
            </c:spPr>
            <c:extLst>
              <c:ext xmlns:c16="http://schemas.microsoft.com/office/drawing/2014/chart" uri="{C3380CC4-5D6E-409C-BE32-E72D297353CC}">
                <c16:uniqueId val="{00000007-E22E-4523-91AB-E99BF27FEF31}"/>
              </c:ext>
            </c:extLst>
          </c:dPt>
          <c:dPt>
            <c:idx val="4"/>
            <c:bubble3D val="0"/>
            <c:spPr>
              <a:solidFill>
                <a:srgbClr val="E84A38"/>
              </a:solidFill>
              <a:ln>
                <a:solidFill>
                  <a:srgbClr val="FFFFFF"/>
                </a:solidFill>
              </a:ln>
            </c:spPr>
            <c:extLst>
              <c:ext xmlns:c16="http://schemas.microsoft.com/office/drawing/2014/chart" uri="{C3380CC4-5D6E-409C-BE32-E72D297353CC}">
                <c16:uniqueId val="{00000009-E22E-4523-91AB-E99BF27FEF31}"/>
              </c:ext>
            </c:extLst>
          </c:dPt>
          <c:dPt>
            <c:idx val="5"/>
            <c:bubble3D val="0"/>
            <c:spPr>
              <a:solidFill>
                <a:srgbClr val="55585A"/>
              </a:solidFill>
              <a:ln>
                <a:solidFill>
                  <a:srgbClr val="FFFFFF"/>
                </a:solidFill>
              </a:ln>
            </c:spPr>
            <c:extLst>
              <c:ext xmlns:c16="http://schemas.microsoft.com/office/drawing/2014/chart" uri="{C3380CC4-5D6E-409C-BE32-E72D297353CC}">
                <c16:uniqueId val="{0000000B-E22E-4523-91AB-E99BF27FEF31}"/>
              </c:ext>
            </c:extLst>
          </c:dPt>
          <c:cat>
            <c:strRef>
              <c:f>'Area VIIa nephrops o250kW'!$G$77:$G$82</c:f>
              <c:strCache>
                <c:ptCount val="6"/>
                <c:pt idx="0">
                  <c:v>Nephrops - 91.7%</c:v>
                </c:pt>
                <c:pt idx="1">
                  <c:v>Anglerfish - 2.1%</c:v>
                </c:pt>
                <c:pt idx="2">
                  <c:v>Haddock - 1.9%</c:v>
                </c:pt>
                <c:pt idx="3">
                  <c:v>Cuttlefish - 0.8%</c:v>
                </c:pt>
                <c:pt idx="4">
                  <c:v>Cod - 0.7%</c:v>
                </c:pt>
                <c:pt idx="5">
                  <c:v>Others - 2.8%</c:v>
                </c:pt>
              </c:strCache>
            </c:strRef>
          </c:cat>
          <c:val>
            <c:numRef>
              <c:f>'Area VIIa nephrops o250kW'!$H$77:$H$82</c:f>
              <c:numCache>
                <c:formatCode>0.0%</c:formatCode>
                <c:ptCount val="6"/>
                <c:pt idx="0">
                  <c:v>0.91658180104789277</c:v>
                </c:pt>
                <c:pt idx="1">
                  <c:v>2.0837254075525509E-2</c:v>
                </c:pt>
                <c:pt idx="2">
                  <c:v>1.9453892154145318E-2</c:v>
                </c:pt>
                <c:pt idx="3">
                  <c:v>8.2859887910111691E-3</c:v>
                </c:pt>
                <c:pt idx="4">
                  <c:v>6.9334503422756478E-3</c:v>
                </c:pt>
                <c:pt idx="5">
                  <c:v>2.7907613589149616E-2</c:v>
                </c:pt>
              </c:numCache>
            </c:numRef>
          </c:val>
          <c:extLst>
            <c:ext xmlns:c16="http://schemas.microsoft.com/office/drawing/2014/chart" uri="{C3380CC4-5D6E-409C-BE32-E72D297353CC}">
              <c16:uniqueId val="{0000000C-E22E-4523-91AB-E99BF27FEF31}"/>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seiners'!$F$76</c:f>
          <c:strCache>
            <c:ptCount val="1"/>
            <c:pt idx="0">
              <c:v>Top 5 landed species by value in 2019
NSWOS demersal seiners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6033-4C43-AA07-52591060BF5A}"/>
              </c:ext>
            </c:extLst>
          </c:dPt>
          <c:dPt>
            <c:idx val="1"/>
            <c:bubble3D val="0"/>
            <c:spPr>
              <a:solidFill>
                <a:srgbClr val="E87308"/>
              </a:solidFill>
              <a:ln>
                <a:solidFill>
                  <a:srgbClr val="FFFFFF"/>
                </a:solidFill>
              </a:ln>
            </c:spPr>
            <c:extLst>
              <c:ext xmlns:c16="http://schemas.microsoft.com/office/drawing/2014/chart" uri="{C3380CC4-5D6E-409C-BE32-E72D297353CC}">
                <c16:uniqueId val="{00000003-6033-4C43-AA07-52591060BF5A}"/>
              </c:ext>
            </c:extLst>
          </c:dPt>
          <c:dPt>
            <c:idx val="2"/>
            <c:bubble3D val="0"/>
            <c:spPr>
              <a:solidFill>
                <a:srgbClr val="648C2E"/>
              </a:solidFill>
              <a:ln>
                <a:solidFill>
                  <a:srgbClr val="FFFFFF"/>
                </a:solidFill>
              </a:ln>
            </c:spPr>
            <c:extLst>
              <c:ext xmlns:c16="http://schemas.microsoft.com/office/drawing/2014/chart" uri="{C3380CC4-5D6E-409C-BE32-E72D297353CC}">
                <c16:uniqueId val="{00000005-6033-4C43-AA07-52591060BF5A}"/>
              </c:ext>
            </c:extLst>
          </c:dPt>
          <c:dPt>
            <c:idx val="3"/>
            <c:bubble3D val="0"/>
            <c:spPr>
              <a:solidFill>
                <a:srgbClr val="C1D119"/>
              </a:solidFill>
              <a:ln>
                <a:solidFill>
                  <a:srgbClr val="FFFFFF"/>
                </a:solidFill>
              </a:ln>
            </c:spPr>
            <c:extLst>
              <c:ext xmlns:c16="http://schemas.microsoft.com/office/drawing/2014/chart" uri="{C3380CC4-5D6E-409C-BE32-E72D297353CC}">
                <c16:uniqueId val="{00000007-6033-4C43-AA07-52591060BF5A}"/>
              </c:ext>
            </c:extLst>
          </c:dPt>
          <c:dPt>
            <c:idx val="4"/>
            <c:bubble3D val="0"/>
            <c:spPr>
              <a:solidFill>
                <a:srgbClr val="E84A38"/>
              </a:solidFill>
              <a:ln>
                <a:solidFill>
                  <a:srgbClr val="FFFFFF"/>
                </a:solidFill>
              </a:ln>
            </c:spPr>
            <c:extLst>
              <c:ext xmlns:c16="http://schemas.microsoft.com/office/drawing/2014/chart" uri="{C3380CC4-5D6E-409C-BE32-E72D297353CC}">
                <c16:uniqueId val="{00000009-6033-4C43-AA07-52591060BF5A}"/>
              </c:ext>
            </c:extLst>
          </c:dPt>
          <c:dPt>
            <c:idx val="5"/>
            <c:bubble3D val="0"/>
            <c:spPr>
              <a:solidFill>
                <a:srgbClr val="55585A"/>
              </a:solidFill>
              <a:ln>
                <a:solidFill>
                  <a:srgbClr val="FFFFFF"/>
                </a:solidFill>
              </a:ln>
            </c:spPr>
            <c:extLst>
              <c:ext xmlns:c16="http://schemas.microsoft.com/office/drawing/2014/chart" uri="{C3380CC4-5D6E-409C-BE32-E72D297353CC}">
                <c16:uniqueId val="{0000000B-6033-4C43-AA07-52591060BF5A}"/>
              </c:ext>
            </c:extLst>
          </c:dPt>
          <c:cat>
            <c:strRef>
              <c:f>'NSWOS demersal seiners'!$G$77:$G$82</c:f>
              <c:strCache>
                <c:ptCount val="6"/>
                <c:pt idx="0">
                  <c:v>Haddock - 24.5%</c:v>
                </c:pt>
                <c:pt idx="1">
                  <c:v>Cod - 23.1%</c:v>
                </c:pt>
                <c:pt idx="2">
                  <c:v>Whiting - 14.9%</c:v>
                </c:pt>
                <c:pt idx="3">
                  <c:v>Hake - 9.8%</c:v>
                </c:pt>
                <c:pt idx="4">
                  <c:v>Plaice - 4.7%</c:v>
                </c:pt>
                <c:pt idx="5">
                  <c:v>Others - 23.0%</c:v>
                </c:pt>
              </c:strCache>
            </c:strRef>
          </c:cat>
          <c:val>
            <c:numRef>
              <c:f>'NSWOS demersal seiners'!$H$77:$H$82</c:f>
              <c:numCache>
                <c:formatCode>0.0%</c:formatCode>
                <c:ptCount val="6"/>
                <c:pt idx="0">
                  <c:v>0.24503794584262206</c:v>
                </c:pt>
                <c:pt idx="1">
                  <c:v>0.23110007548693404</c:v>
                </c:pt>
                <c:pt idx="2">
                  <c:v>0.14873378663248324</c:v>
                </c:pt>
                <c:pt idx="3">
                  <c:v>9.8446998328360832E-2</c:v>
                </c:pt>
                <c:pt idx="4">
                  <c:v>4.6974969801895104E-2</c:v>
                </c:pt>
                <c:pt idx="5">
                  <c:v>0.22970622390770479</c:v>
                </c:pt>
              </c:numCache>
            </c:numRef>
          </c:val>
          <c:extLst>
            <c:ext xmlns:c16="http://schemas.microsoft.com/office/drawing/2014/chart" uri="{C3380CC4-5D6E-409C-BE32-E72D297353CC}">
              <c16:uniqueId val="{0000000C-6033-4C43-AA07-52591060BF5A}"/>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seiners'!$K$77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demersal seiners'!$C$92</c:f>
              <c:strCache>
                <c:ptCount val="1"/>
                <c:pt idx="0">
                  <c:v>Haddock</c:v>
                </c:pt>
              </c:strCache>
            </c:strRef>
          </c:tx>
          <c:spPr>
            <a:solidFill>
              <a:srgbClr val="2273B9"/>
            </a:solidFill>
            <a:ln>
              <a:solidFill>
                <a:srgbClr val="FFFFFF"/>
              </a:solidFill>
            </a:ln>
          </c:spPr>
          <c:invertIfNegative val="0"/>
          <c:cat>
            <c:numRef>
              <c:f>'NSWOS demersal seiners'!$D$91:$M$91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seiners'!$D$92:$M$92</c:f>
              <c:numCache>
                <c:formatCode>0%</c:formatCode>
                <c:ptCount val="10"/>
                <c:pt idx="0">
                  <c:v>0.37810984930909769</c:v>
                </c:pt>
                <c:pt idx="1">
                  <c:v>0.39852493537864564</c:v>
                </c:pt>
                <c:pt idx="2">
                  <c:v>0.33757213383115148</c:v>
                </c:pt>
                <c:pt idx="3">
                  <c:v>0.36537246228181097</c:v>
                </c:pt>
                <c:pt idx="4">
                  <c:v>0.37030308508093396</c:v>
                </c:pt>
                <c:pt idx="5">
                  <c:v>0.28415675870703894</c:v>
                </c:pt>
                <c:pt idx="6">
                  <c:v>0.25020052240820517</c:v>
                </c:pt>
                <c:pt idx="7">
                  <c:v>0.30772383390297231</c:v>
                </c:pt>
                <c:pt idx="8">
                  <c:v>0.24503794584262206</c:v>
                </c:pt>
                <c:pt idx="9">
                  <c:v>0.20182270786044665</c:v>
                </c:pt>
              </c:numCache>
            </c:numRef>
          </c:val>
          <c:extLst>
            <c:ext xmlns:c16="http://schemas.microsoft.com/office/drawing/2014/chart" uri="{C3380CC4-5D6E-409C-BE32-E72D297353CC}">
              <c16:uniqueId val="{00000000-2196-4B23-A058-321E594B48C2}"/>
            </c:ext>
          </c:extLst>
        </c:ser>
        <c:ser>
          <c:idx val="1"/>
          <c:order val="1"/>
          <c:tx>
            <c:strRef>
              <c:f>'NSWOS demersal seiners'!$C$93</c:f>
              <c:strCache>
                <c:ptCount val="1"/>
                <c:pt idx="0">
                  <c:v>Cod</c:v>
                </c:pt>
              </c:strCache>
            </c:strRef>
          </c:tx>
          <c:spPr>
            <a:solidFill>
              <a:srgbClr val="E87308"/>
            </a:solidFill>
            <a:ln>
              <a:solidFill>
                <a:srgbClr val="FFFFFF"/>
              </a:solidFill>
            </a:ln>
          </c:spPr>
          <c:invertIfNegative val="0"/>
          <c:cat>
            <c:numRef>
              <c:f>'NSWOS demersal seiners'!$D$91:$M$91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seiners'!$D$93:$M$93</c:f>
              <c:numCache>
                <c:formatCode>0%</c:formatCode>
                <c:ptCount val="10"/>
                <c:pt idx="0">
                  <c:v>0.20397522937964907</c:v>
                </c:pt>
                <c:pt idx="1">
                  <c:v>0.25914551665330687</c:v>
                </c:pt>
                <c:pt idx="2">
                  <c:v>0.17013011637707243</c:v>
                </c:pt>
                <c:pt idx="3">
                  <c:v>0.14226071779572208</c:v>
                </c:pt>
                <c:pt idx="4">
                  <c:v>0.21145673080378574</c:v>
                </c:pt>
                <c:pt idx="5">
                  <c:v>0.2447374754822042</c:v>
                </c:pt>
                <c:pt idx="6">
                  <c:v>0.20560774165343132</c:v>
                </c:pt>
                <c:pt idx="7">
                  <c:v>0.27120520210068022</c:v>
                </c:pt>
                <c:pt idx="8">
                  <c:v>0.23110007548693404</c:v>
                </c:pt>
                <c:pt idx="9">
                  <c:v>0.1349997414198095</c:v>
                </c:pt>
              </c:numCache>
            </c:numRef>
          </c:val>
          <c:extLst>
            <c:ext xmlns:c16="http://schemas.microsoft.com/office/drawing/2014/chart" uri="{C3380CC4-5D6E-409C-BE32-E72D297353CC}">
              <c16:uniqueId val="{00000001-2196-4B23-A058-321E594B48C2}"/>
            </c:ext>
          </c:extLst>
        </c:ser>
        <c:ser>
          <c:idx val="2"/>
          <c:order val="2"/>
          <c:tx>
            <c:strRef>
              <c:f>'NSWOS demersal seiners'!$C$94</c:f>
              <c:strCache>
                <c:ptCount val="1"/>
                <c:pt idx="0">
                  <c:v>Whiting</c:v>
                </c:pt>
              </c:strCache>
            </c:strRef>
          </c:tx>
          <c:spPr>
            <a:solidFill>
              <a:srgbClr val="648C2E"/>
            </a:solidFill>
            <a:ln>
              <a:solidFill>
                <a:srgbClr val="FFFFFF"/>
              </a:solidFill>
            </a:ln>
          </c:spPr>
          <c:invertIfNegative val="0"/>
          <c:cat>
            <c:numRef>
              <c:f>'NSWOS demersal seiners'!$D$91:$M$91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seiners'!$D$94:$M$94</c:f>
              <c:numCache>
                <c:formatCode>0%</c:formatCode>
                <c:ptCount val="10"/>
                <c:pt idx="0">
                  <c:v>0.13969379902722928</c:v>
                </c:pt>
                <c:pt idx="1">
                  <c:v>0.15821918303115096</c:v>
                </c:pt>
                <c:pt idx="2">
                  <c:v>0.11575033247992132</c:v>
                </c:pt>
                <c:pt idx="3">
                  <c:v>0.11159738637316681</c:v>
                </c:pt>
                <c:pt idx="4">
                  <c:v>0.13706851638502218</c:v>
                </c:pt>
                <c:pt idx="5">
                  <c:v>0.1305361736775586</c:v>
                </c:pt>
                <c:pt idx="6">
                  <c:v>0.11855348182041203</c:v>
                </c:pt>
                <c:pt idx="7">
                  <c:v>0.14755315363338437</c:v>
                </c:pt>
                <c:pt idx="8">
                  <c:v>0.14873378663248324</c:v>
                </c:pt>
                <c:pt idx="9">
                  <c:v>0.16002785929934765</c:v>
                </c:pt>
              </c:numCache>
            </c:numRef>
          </c:val>
          <c:extLst>
            <c:ext xmlns:c16="http://schemas.microsoft.com/office/drawing/2014/chart" uri="{C3380CC4-5D6E-409C-BE32-E72D297353CC}">
              <c16:uniqueId val="{00000002-2196-4B23-A058-321E594B48C2}"/>
            </c:ext>
          </c:extLst>
        </c:ser>
        <c:ser>
          <c:idx val="3"/>
          <c:order val="3"/>
          <c:tx>
            <c:strRef>
              <c:f>'NSWOS demersal seiners'!$C$95</c:f>
              <c:strCache>
                <c:ptCount val="1"/>
                <c:pt idx="0">
                  <c:v>Hake</c:v>
                </c:pt>
              </c:strCache>
            </c:strRef>
          </c:tx>
          <c:spPr>
            <a:solidFill>
              <a:srgbClr val="C1D119"/>
            </a:solidFill>
            <a:ln>
              <a:solidFill>
                <a:srgbClr val="FFFFFF"/>
              </a:solidFill>
            </a:ln>
          </c:spPr>
          <c:invertIfNegative val="0"/>
          <c:cat>
            <c:numRef>
              <c:f>'NSWOS demersal seiners'!$D$91:$M$91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seiners'!$D$95:$M$95</c:f>
              <c:numCache>
                <c:formatCode>0%</c:formatCode>
                <c:ptCount val="10"/>
                <c:pt idx="7">
                  <c:v>9.0871244730008238E-2</c:v>
                </c:pt>
                <c:pt idx="8">
                  <c:v>9.8446998328360832E-2</c:v>
                </c:pt>
              </c:numCache>
            </c:numRef>
          </c:val>
          <c:extLst>
            <c:ext xmlns:c16="http://schemas.microsoft.com/office/drawing/2014/chart" uri="{C3380CC4-5D6E-409C-BE32-E72D297353CC}">
              <c16:uniqueId val="{00000003-2196-4B23-A058-321E594B48C2}"/>
            </c:ext>
          </c:extLst>
        </c:ser>
        <c:ser>
          <c:idx val="4"/>
          <c:order val="4"/>
          <c:tx>
            <c:strRef>
              <c:f>'NSWOS demersal seiners'!$C$96</c:f>
              <c:strCache>
                <c:ptCount val="1"/>
                <c:pt idx="0">
                  <c:v>Plaice</c:v>
                </c:pt>
              </c:strCache>
            </c:strRef>
          </c:tx>
          <c:spPr>
            <a:solidFill>
              <a:srgbClr val="E84A38"/>
            </a:solidFill>
            <a:ln>
              <a:solidFill>
                <a:srgbClr val="FFFFFF"/>
              </a:solidFill>
            </a:ln>
          </c:spPr>
          <c:invertIfNegative val="0"/>
          <c:cat>
            <c:numRef>
              <c:f>'NSWOS demersal seiners'!$D$91:$M$91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seiners'!$D$96:$M$96</c:f>
              <c:numCache>
                <c:formatCode>0%</c:formatCode>
                <c:ptCount val="10"/>
                <c:pt idx="0">
                  <c:v>7.242732608834633E-2</c:v>
                </c:pt>
                <c:pt idx="1">
                  <c:v>3.9299332631036299E-2</c:v>
                </c:pt>
                <c:pt idx="2">
                  <c:v>0.13379116124589549</c:v>
                </c:pt>
                <c:pt idx="3">
                  <c:v>0.10885742833971571</c:v>
                </c:pt>
                <c:pt idx="4">
                  <c:v>6.0072866403013021E-2</c:v>
                </c:pt>
                <c:pt idx="5">
                  <c:v>5.4079495992379177E-2</c:v>
                </c:pt>
                <c:pt idx="6">
                  <c:v>0.10166378571632777</c:v>
                </c:pt>
                <c:pt idx="8">
                  <c:v>4.6974969801895104E-2</c:v>
                </c:pt>
              </c:numCache>
            </c:numRef>
          </c:val>
          <c:extLst>
            <c:ext xmlns:c16="http://schemas.microsoft.com/office/drawing/2014/chart" uri="{C3380CC4-5D6E-409C-BE32-E72D297353CC}">
              <c16:uniqueId val="{00000004-2196-4B23-A058-321E594B48C2}"/>
            </c:ext>
          </c:extLst>
        </c:ser>
        <c:ser>
          <c:idx val="5"/>
          <c:order val="5"/>
          <c:tx>
            <c:strRef>
              <c:f>'NSWOS demersal seiners'!$C$97</c:f>
              <c:strCache>
                <c:ptCount val="1"/>
                <c:pt idx="0">
                  <c:v>Squid</c:v>
                </c:pt>
              </c:strCache>
            </c:strRef>
          </c:tx>
          <c:spPr>
            <a:solidFill>
              <a:srgbClr val="0F9AA9"/>
            </a:solidFill>
            <a:ln>
              <a:solidFill>
                <a:srgbClr val="FFFFFF"/>
              </a:solidFill>
            </a:ln>
          </c:spPr>
          <c:invertIfNegative val="0"/>
          <c:cat>
            <c:numRef>
              <c:f>'NSWOS demersal seiners'!$D$91:$M$91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seiners'!$D$97:$M$97</c:f>
              <c:numCache>
                <c:formatCode>0%</c:formatCode>
                <c:ptCount val="10"/>
                <c:pt idx="2">
                  <c:v>3.6310815532958944E-2</c:v>
                </c:pt>
                <c:pt idx="9">
                  <c:v>8.7732852548014426E-2</c:v>
                </c:pt>
              </c:numCache>
            </c:numRef>
          </c:val>
          <c:extLst>
            <c:ext xmlns:c16="http://schemas.microsoft.com/office/drawing/2014/chart" uri="{C3380CC4-5D6E-409C-BE32-E72D297353CC}">
              <c16:uniqueId val="{00000005-2196-4B23-A058-321E594B48C2}"/>
            </c:ext>
          </c:extLst>
        </c:ser>
        <c:ser>
          <c:idx val="6"/>
          <c:order val="6"/>
          <c:tx>
            <c:strRef>
              <c:f>'NSWOS demersal seiners'!$C$98</c:f>
              <c:strCache>
                <c:ptCount val="1"/>
                <c:pt idx="0">
                  <c:v>Anglerfish</c:v>
                </c:pt>
              </c:strCache>
            </c:strRef>
          </c:tx>
          <c:spPr>
            <a:solidFill>
              <a:srgbClr val="FED825"/>
            </a:solidFill>
            <a:ln>
              <a:solidFill>
                <a:srgbClr val="FFFFFF"/>
              </a:solidFill>
            </a:ln>
          </c:spPr>
          <c:invertIfNegative val="0"/>
          <c:cat>
            <c:numRef>
              <c:f>'NSWOS demersal seiners'!$D$91:$M$91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seiners'!$D$98:$M$98</c:f>
              <c:numCache>
                <c:formatCode>0%</c:formatCode>
                <c:ptCount val="10"/>
                <c:pt idx="5">
                  <c:v>4.6560879221878439E-2</c:v>
                </c:pt>
                <c:pt idx="7">
                  <c:v>3.9365104364128045E-2</c:v>
                </c:pt>
              </c:numCache>
            </c:numRef>
          </c:val>
          <c:extLst>
            <c:ext xmlns:c16="http://schemas.microsoft.com/office/drawing/2014/chart" uri="{C3380CC4-5D6E-409C-BE32-E72D297353CC}">
              <c16:uniqueId val="{00000006-2196-4B23-A058-321E594B48C2}"/>
            </c:ext>
          </c:extLst>
        </c:ser>
        <c:ser>
          <c:idx val="7"/>
          <c:order val="7"/>
          <c:tx>
            <c:strRef>
              <c:f>'NSWOS demersal seiners'!$C$99</c:f>
              <c:strCache>
                <c:ptCount val="1"/>
                <c:pt idx="0">
                  <c:v>Squid</c:v>
                </c:pt>
              </c:strCache>
            </c:strRef>
          </c:tx>
          <c:spPr>
            <a:solidFill>
              <a:srgbClr val="707271"/>
            </a:solidFill>
            <a:ln>
              <a:solidFill>
                <a:srgbClr val="FFFFFF"/>
              </a:solidFill>
            </a:ln>
          </c:spPr>
          <c:invertIfNegative val="0"/>
          <c:cat>
            <c:numRef>
              <c:f>'NSWOS demersal seiners'!$D$91:$M$91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seiners'!$D$99:$M$99</c:f>
              <c:numCache>
                <c:formatCode>0%</c:formatCode>
                <c:ptCount val="10"/>
                <c:pt idx="3">
                  <c:v>6.2816203319949748E-2</c:v>
                </c:pt>
                <c:pt idx="4">
                  <c:v>3.3581266061603665E-2</c:v>
                </c:pt>
                <c:pt idx="6">
                  <c:v>7.1005936652375909E-2</c:v>
                </c:pt>
              </c:numCache>
            </c:numRef>
          </c:val>
          <c:extLst>
            <c:ext xmlns:c16="http://schemas.microsoft.com/office/drawing/2014/chart" uri="{C3380CC4-5D6E-409C-BE32-E72D297353CC}">
              <c16:uniqueId val="{00000007-2196-4B23-A058-321E594B48C2}"/>
            </c:ext>
          </c:extLst>
        </c:ser>
        <c:ser>
          <c:idx val="8"/>
          <c:order val="8"/>
          <c:tx>
            <c:strRef>
              <c:f>'NSWOS demersal seiners'!$C$100</c:f>
              <c:strCache>
                <c:ptCount val="1"/>
                <c:pt idx="0">
                  <c:v>Megrim</c:v>
                </c:pt>
              </c:strCache>
            </c:strRef>
          </c:tx>
          <c:spPr>
            <a:solidFill>
              <a:srgbClr val="51AA81"/>
            </a:solidFill>
            <a:ln>
              <a:solidFill>
                <a:srgbClr val="FFFFFF"/>
              </a:solidFill>
            </a:ln>
          </c:spPr>
          <c:invertIfNegative val="0"/>
          <c:cat>
            <c:numRef>
              <c:f>'NSWOS demersal seiners'!$D$91:$M$91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seiners'!$D$100:$M$100</c:f>
              <c:numCache>
                <c:formatCode>0%</c:formatCode>
                <c:ptCount val="10"/>
                <c:pt idx="0">
                  <c:v>4.2913432718830094E-2</c:v>
                </c:pt>
                <c:pt idx="1">
                  <c:v>4.2995540649766316E-2</c:v>
                </c:pt>
              </c:numCache>
            </c:numRef>
          </c:val>
          <c:extLst>
            <c:ext xmlns:c16="http://schemas.microsoft.com/office/drawing/2014/chart" uri="{C3380CC4-5D6E-409C-BE32-E72D297353CC}">
              <c16:uniqueId val="{00000008-2196-4B23-A058-321E594B48C2}"/>
            </c:ext>
          </c:extLst>
        </c:ser>
        <c:ser>
          <c:idx val="9"/>
          <c:order val="9"/>
          <c:tx>
            <c:strRef>
              <c:f>'NSWOS demersal seiners'!$C$101</c:f>
              <c:strCache>
                <c:ptCount val="1"/>
                <c:pt idx="0">
                  <c:v>Others</c:v>
                </c:pt>
              </c:strCache>
            </c:strRef>
          </c:tx>
          <c:spPr>
            <a:solidFill>
              <a:srgbClr val="55585A"/>
            </a:solidFill>
            <a:ln>
              <a:solidFill>
                <a:srgbClr val="FFFFFF"/>
              </a:solidFill>
            </a:ln>
          </c:spPr>
          <c:invertIfNegative val="0"/>
          <c:cat>
            <c:numRef>
              <c:f>'NSWOS demersal seiners'!$D$91:$M$91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seiners'!$D$101:$M$101</c:f>
              <c:numCache>
                <c:formatCode>0%</c:formatCode>
                <c:ptCount val="10"/>
                <c:pt idx="0">
                  <c:v>0.16288036347684753</c:v>
                </c:pt>
                <c:pt idx="1">
                  <c:v>0.10181549165609387</c:v>
                </c:pt>
                <c:pt idx="2">
                  <c:v>0.20644544053300032</c:v>
                </c:pt>
                <c:pt idx="3">
                  <c:v>0.20909580188963464</c:v>
                </c:pt>
                <c:pt idx="4">
                  <c:v>0.18751753526564144</c:v>
                </c:pt>
                <c:pt idx="5">
                  <c:v>0.23992921691894062</c:v>
                </c:pt>
                <c:pt idx="6">
                  <c:v>0.25296853174924777</c:v>
                </c:pt>
                <c:pt idx="7">
                  <c:v>0.14328146126882682</c:v>
                </c:pt>
                <c:pt idx="8">
                  <c:v>0.22970622390770473</c:v>
                </c:pt>
                <c:pt idx="9">
                  <c:v>0.34448498974588304</c:v>
                </c:pt>
              </c:numCache>
            </c:numRef>
          </c:val>
          <c:extLst>
            <c:ext xmlns:c16="http://schemas.microsoft.com/office/drawing/2014/chart" uri="{C3380CC4-5D6E-409C-BE32-E72D297353CC}">
              <c16:uniqueId val="{00000009-2196-4B23-A058-321E594B48C2}"/>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'NSWOS demersal seiners'!$B$162</c:f>
              <c:strCache>
                <c:ptCount val="1"/>
                <c:pt idx="0">
                  <c:v>Haddock</c:v>
                </c:pt>
              </c:strCache>
            </c:strRef>
          </c:tx>
          <c:spPr>
            <a:solidFill>
              <a:srgbClr val="2273B9"/>
            </a:solidFill>
            <a:ln>
              <a:solidFill>
                <a:srgbClr val="FFFFFF"/>
              </a:solidFill>
            </a:ln>
          </c:spPr>
          <c:invertIfNegative val="0"/>
          <c:cat>
            <c:strRef>
              <c:f>'NSWOS demersal seiners'!$C$161:$E$161</c:f>
              <c:strCache>
                <c:ptCount val="3"/>
                <c:pt idx="0">
                  <c:v>Most
profitable
quartile</c:v>
                </c:pt>
                <c:pt idx="1">
                  <c:v>Middle 
two quartiles</c:v>
                </c:pt>
                <c:pt idx="2">
                  <c:v>Least
profitable
quartile</c:v>
                </c:pt>
              </c:strCache>
            </c:strRef>
          </c:cat>
          <c:val>
            <c:numRef>
              <c:f>'NSWOS demersal seiners'!$C$162:$E$162</c:f>
              <c:numCache>
                <c:formatCode>0%</c:formatCode>
                <c:ptCount val="3"/>
                <c:pt idx="0">
                  <c:v>0</c:v>
                </c:pt>
                <c:pt idx="1">
                  <c:v>0.47390616829698773</c:v>
                </c:pt>
                <c:pt idx="2">
                  <c:v>0</c:v>
                </c:pt>
              </c:numCache>
            </c:numRef>
          </c:val>
          <c:extLst>
            <c:ext xmlns:c16="http://schemas.microsoft.com/office/drawing/2014/chart" uri="{C3380CC4-5D6E-409C-BE32-E72D297353CC}">
              <c16:uniqueId val="{00000000-2EA9-4533-8458-805935397796}"/>
            </c:ext>
          </c:extLst>
        </c:ser>
        <c:ser>
          <c:idx val="1"/>
          <c:order val="1"/>
          <c:tx>
            <c:strRef>
              <c:f>'NSWOS demersal seiners'!$B$163</c:f>
              <c:strCache>
                <c:ptCount val="1"/>
                <c:pt idx="0">
                  <c:v>Whiting</c:v>
                </c:pt>
              </c:strCache>
            </c:strRef>
          </c:tx>
          <c:spPr>
            <a:solidFill>
              <a:srgbClr val="648C2E"/>
            </a:solidFill>
            <a:ln>
              <a:solidFill>
                <a:srgbClr val="FFFFFF"/>
              </a:solidFill>
            </a:ln>
          </c:spPr>
          <c:invertIfNegative val="0"/>
          <c:cat>
            <c:strRef>
              <c:f>'NSWOS demersal seiners'!$C$161:$E$161</c:f>
              <c:strCache>
                <c:ptCount val="3"/>
                <c:pt idx="0">
                  <c:v>Most
profitable
quartile</c:v>
                </c:pt>
                <c:pt idx="1">
                  <c:v>Middle 
two quartiles</c:v>
                </c:pt>
                <c:pt idx="2">
                  <c:v>Least
profitable
quartile</c:v>
                </c:pt>
              </c:strCache>
            </c:strRef>
          </c:cat>
          <c:val>
            <c:numRef>
              <c:f>'NSWOS demersal seiners'!$C$163:$E$163</c:f>
              <c:numCache>
                <c:formatCode>0%</c:formatCode>
                <c:ptCount val="3"/>
                <c:pt idx="0">
                  <c:v>0</c:v>
                </c:pt>
                <c:pt idx="1">
                  <c:v>0.21789408902571958</c:v>
                </c:pt>
                <c:pt idx="2">
                  <c:v>0</c:v>
                </c:pt>
              </c:numCache>
            </c:numRef>
          </c:val>
          <c:extLst>
            <c:ext xmlns:c16="http://schemas.microsoft.com/office/drawing/2014/chart" uri="{C3380CC4-5D6E-409C-BE32-E72D297353CC}">
              <c16:uniqueId val="{00000001-2EA9-4533-8458-805935397796}"/>
            </c:ext>
          </c:extLst>
        </c:ser>
        <c:ser>
          <c:idx val="2"/>
          <c:order val="2"/>
          <c:tx>
            <c:strRef>
              <c:f>'NSWOS demersal seiners'!$B$164</c:f>
              <c:strCache>
                <c:ptCount val="1"/>
                <c:pt idx="0">
                  <c:v>Cod</c:v>
                </c:pt>
              </c:strCache>
            </c:strRef>
          </c:tx>
          <c:spPr>
            <a:solidFill>
              <a:srgbClr val="E87308"/>
            </a:solidFill>
            <a:ln>
              <a:solidFill>
                <a:srgbClr val="FFFFFF"/>
              </a:solidFill>
            </a:ln>
          </c:spPr>
          <c:invertIfNegative val="0"/>
          <c:cat>
            <c:strRef>
              <c:f>'NSWOS demersal seiners'!$C$161:$E$161</c:f>
              <c:strCache>
                <c:ptCount val="3"/>
                <c:pt idx="0">
                  <c:v>Most
profitable
quartile</c:v>
                </c:pt>
                <c:pt idx="1">
                  <c:v>Middle 
two quartiles</c:v>
                </c:pt>
                <c:pt idx="2">
                  <c:v>Least
profitable
quartile</c:v>
                </c:pt>
              </c:strCache>
            </c:strRef>
          </c:cat>
          <c:val>
            <c:numRef>
              <c:f>'NSWOS demersal seiners'!$C$164:$E$164</c:f>
              <c:numCache>
                <c:formatCode>0%</c:formatCode>
                <c:ptCount val="3"/>
                <c:pt idx="0">
                  <c:v>0</c:v>
                </c:pt>
                <c:pt idx="1">
                  <c:v>0.15037030751870414</c:v>
                </c:pt>
                <c:pt idx="2">
                  <c:v>0</c:v>
                </c:pt>
              </c:numCache>
            </c:numRef>
          </c:val>
          <c:extLst>
            <c:ext xmlns:c16="http://schemas.microsoft.com/office/drawing/2014/chart" uri="{C3380CC4-5D6E-409C-BE32-E72D297353CC}">
              <c16:uniqueId val="{00000002-2EA9-4533-8458-805935397796}"/>
            </c:ext>
          </c:extLst>
        </c:ser>
        <c:ser>
          <c:idx val="3"/>
          <c:order val="3"/>
          <c:tx>
            <c:strRef>
              <c:f>'NSWOS demersal seiners'!$B$165</c:f>
              <c:strCache>
                <c:ptCount val="1"/>
                <c:pt idx="0">
                  <c:v>Hake</c:v>
                </c:pt>
              </c:strCache>
            </c:strRef>
          </c:tx>
          <c:spPr>
            <a:solidFill>
              <a:srgbClr val="C1D119"/>
            </a:solidFill>
            <a:ln>
              <a:solidFill>
                <a:srgbClr val="FFFFFF"/>
              </a:solidFill>
            </a:ln>
          </c:spPr>
          <c:invertIfNegative val="0"/>
          <c:cat>
            <c:strRef>
              <c:f>'NSWOS demersal seiners'!$C$161:$E$161</c:f>
              <c:strCache>
                <c:ptCount val="3"/>
                <c:pt idx="0">
                  <c:v>Most
profitable
quartile</c:v>
                </c:pt>
                <c:pt idx="1">
                  <c:v>Middle 
two quartiles</c:v>
                </c:pt>
                <c:pt idx="2">
                  <c:v>Least
profitable
quartile</c:v>
                </c:pt>
              </c:strCache>
            </c:strRef>
          </c:cat>
          <c:val>
            <c:numRef>
              <c:f>'NSWOS demersal seiners'!$C$165:$E$165</c:f>
              <c:numCache>
                <c:formatCode>0%</c:formatCode>
                <c:ptCount val="3"/>
                <c:pt idx="0">
                  <c:v>0</c:v>
                </c:pt>
                <c:pt idx="1">
                  <c:v>5.2543193970470178E-2</c:v>
                </c:pt>
                <c:pt idx="2">
                  <c:v>0</c:v>
                </c:pt>
              </c:numCache>
            </c:numRef>
          </c:val>
          <c:extLst>
            <c:ext xmlns:c16="http://schemas.microsoft.com/office/drawing/2014/chart" uri="{C3380CC4-5D6E-409C-BE32-E72D297353CC}">
              <c16:uniqueId val="{00000003-2EA9-4533-8458-805935397796}"/>
            </c:ext>
          </c:extLst>
        </c:ser>
        <c:ser>
          <c:idx val="4"/>
          <c:order val="4"/>
          <c:tx>
            <c:strRef>
              <c:f>'NSWOS demersal seiners'!$B$166</c:f>
              <c:strCache>
                <c:ptCount val="1"/>
                <c:pt idx="0">
                  <c:v>Saithe</c:v>
                </c:pt>
              </c:strCache>
            </c:strRef>
          </c:tx>
          <c:spPr>
            <a:solidFill>
              <a:srgbClr val="0F9AA9"/>
            </a:solidFill>
            <a:ln>
              <a:solidFill>
                <a:srgbClr val="FFFFFF"/>
              </a:solidFill>
            </a:ln>
          </c:spPr>
          <c:invertIfNegative val="0"/>
          <c:cat>
            <c:strRef>
              <c:f>'NSWOS demersal seiners'!$C$161:$E$161</c:f>
              <c:strCache>
                <c:ptCount val="3"/>
                <c:pt idx="0">
                  <c:v>Most
profitable
quartile</c:v>
                </c:pt>
                <c:pt idx="1">
                  <c:v>Middle 
two quartiles</c:v>
                </c:pt>
                <c:pt idx="2">
                  <c:v>Least
profitable
quartile</c:v>
                </c:pt>
              </c:strCache>
            </c:strRef>
          </c:cat>
          <c:val>
            <c:numRef>
              <c:f>'NSWOS demersal seiners'!$C$166:$E$166</c:f>
              <c:numCache>
                <c:formatCode>0%</c:formatCode>
                <c:ptCount val="3"/>
                <c:pt idx="0">
                  <c:v>0</c:v>
                </c:pt>
                <c:pt idx="1">
                  <c:v>3.5924779156253715E-2</c:v>
                </c:pt>
                <c:pt idx="2">
                  <c:v>0</c:v>
                </c:pt>
              </c:numCache>
            </c:numRef>
          </c:val>
          <c:extLst>
            <c:ext xmlns:c16="http://schemas.microsoft.com/office/drawing/2014/chart" uri="{C3380CC4-5D6E-409C-BE32-E72D297353CC}">
              <c16:uniqueId val="{00000004-2EA9-4533-8458-805935397796}"/>
            </c:ext>
          </c:extLst>
        </c:ser>
        <c:ser>
          <c:idx val="5"/>
          <c:order val="5"/>
          <c:tx>
            <c:strRef>
              <c:f>'NSWOS demersal seiners'!$B$167</c:f>
              <c:strCache>
                <c:ptCount val="1"/>
                <c:pt idx="0">
                  <c:v>Plaice</c:v>
                </c:pt>
              </c:strCache>
            </c:strRef>
          </c:tx>
          <c:spPr>
            <a:solidFill>
              <a:srgbClr val="E84A38"/>
            </a:solidFill>
            <a:ln>
              <a:solidFill>
                <a:srgbClr val="FFFFFF"/>
              </a:solidFill>
            </a:ln>
          </c:spPr>
          <c:invertIfNegative val="0"/>
          <c:cat>
            <c:strRef>
              <c:f>'NSWOS demersal seiners'!$C$161:$E$161</c:f>
              <c:strCache>
                <c:ptCount val="3"/>
                <c:pt idx="0">
                  <c:v>Most
profitable
quartile</c:v>
                </c:pt>
                <c:pt idx="1">
                  <c:v>Middle 
two quartiles</c:v>
                </c:pt>
                <c:pt idx="2">
                  <c:v>Least
profitable
quartile</c:v>
                </c:pt>
              </c:strCache>
            </c:strRef>
          </c:cat>
          <c:val>
            <c:numRef>
              <c:f>'NSWOS demersal seiners'!$C$167:$E$167</c:f>
              <c:numCache>
                <c:formatCode>0%</c:formatCode>
                <c:ptCount val="3"/>
                <c:pt idx="0">
                  <c:v>0</c:v>
                </c:pt>
                <c:pt idx="1">
                  <c:v>0</c:v>
                </c:pt>
                <c:pt idx="2">
                  <c:v>0</c:v>
                </c:pt>
              </c:numCache>
            </c:numRef>
          </c:val>
          <c:extLst>
            <c:ext xmlns:c16="http://schemas.microsoft.com/office/drawing/2014/chart" uri="{C3380CC4-5D6E-409C-BE32-E72D297353CC}">
              <c16:uniqueId val="{00000005-2EA9-4533-8458-805935397796}"/>
            </c:ext>
          </c:extLst>
        </c:ser>
        <c:ser>
          <c:idx val="6"/>
          <c:order val="6"/>
          <c:tx>
            <c:strRef>
              <c:f>'NSWOS demersal seiners'!$B$168</c:f>
              <c:strCache>
                <c:ptCount val="1"/>
                <c:pt idx="0">
                  <c:v>Others</c:v>
                </c:pt>
              </c:strCache>
            </c:strRef>
          </c:tx>
          <c:spPr>
            <a:solidFill>
              <a:srgbClr val="55585A"/>
            </a:solidFill>
            <a:ln>
              <a:solidFill>
                <a:srgbClr val="FFFFFF"/>
              </a:solidFill>
            </a:ln>
          </c:spPr>
          <c:invertIfNegative val="0"/>
          <c:cat>
            <c:strRef>
              <c:f>'NSWOS demersal seiners'!$C$161:$E$161</c:f>
              <c:strCache>
                <c:ptCount val="3"/>
                <c:pt idx="0">
                  <c:v>Most
profitable
quartile</c:v>
                </c:pt>
                <c:pt idx="1">
                  <c:v>Middle 
two quartiles</c:v>
                </c:pt>
                <c:pt idx="2">
                  <c:v>Least
profitable
quartile</c:v>
                </c:pt>
              </c:strCache>
            </c:strRef>
          </c:cat>
          <c:val>
            <c:numRef>
              <c:f>'NSWOS demersal seiners'!$C$168:$E$168</c:f>
              <c:numCache>
                <c:formatCode>0%</c:formatCode>
                <c:ptCount val="3"/>
                <c:pt idx="0">
                  <c:v>0</c:v>
                </c:pt>
                <c:pt idx="1">
                  <c:v>6.9361462031864662E-2</c:v>
                </c:pt>
                <c:pt idx="2">
                  <c:v>0</c:v>
                </c:pt>
              </c:numCache>
            </c:numRef>
          </c:val>
          <c:extLst>
            <c:ext xmlns:c16="http://schemas.microsoft.com/office/drawing/2014/chart" uri="{C3380CC4-5D6E-409C-BE32-E72D297353CC}">
              <c16:uniqueId val="{00000006-2EA9-4533-8458-805935397796}"/>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'NSWOS demersal seiners'!$H$162</c:f>
              <c:strCache>
                <c:ptCount val="1"/>
                <c:pt idx="0">
                  <c:v>Haddock</c:v>
                </c:pt>
              </c:strCache>
            </c:strRef>
          </c:tx>
          <c:spPr>
            <a:solidFill>
              <a:srgbClr val="2273B9"/>
            </a:solidFill>
            <a:ln>
              <a:solidFill>
                <a:srgbClr val="FFFFFF"/>
              </a:solidFill>
            </a:ln>
          </c:spPr>
          <c:invertIfNegative val="0"/>
          <c:cat>
            <c:strRef>
              <c:f>'NSWOS demersal seiners'!$I$161:$K$161</c:f>
              <c:strCache>
                <c:ptCount val="3"/>
                <c:pt idx="0">
                  <c:v>Most
profitable
quartile</c:v>
                </c:pt>
                <c:pt idx="1">
                  <c:v>Middle 
two quartiles</c:v>
                </c:pt>
                <c:pt idx="2">
                  <c:v>Least
profitable
quartile</c:v>
                </c:pt>
              </c:strCache>
            </c:strRef>
          </c:cat>
          <c:val>
            <c:numRef>
              <c:f>'NSWOS demersal seiners'!$I$162:$K$162</c:f>
              <c:numCache>
                <c:formatCode>0%</c:formatCode>
                <c:ptCount val="3"/>
                <c:pt idx="0">
                  <c:v>0</c:v>
                </c:pt>
                <c:pt idx="1">
                  <c:v>0.34021375973560669</c:v>
                </c:pt>
                <c:pt idx="2">
                  <c:v>0</c:v>
                </c:pt>
              </c:numCache>
            </c:numRef>
          </c:val>
          <c:extLst>
            <c:ext xmlns:c16="http://schemas.microsoft.com/office/drawing/2014/chart" uri="{C3380CC4-5D6E-409C-BE32-E72D297353CC}">
              <c16:uniqueId val="{00000000-28D9-4160-B3A0-76676823147C}"/>
            </c:ext>
          </c:extLst>
        </c:ser>
        <c:ser>
          <c:idx val="1"/>
          <c:order val="1"/>
          <c:tx>
            <c:strRef>
              <c:f>'NSWOS demersal seiners'!$H$163</c:f>
              <c:strCache>
                <c:ptCount val="1"/>
                <c:pt idx="0">
                  <c:v>Cod</c:v>
                </c:pt>
              </c:strCache>
            </c:strRef>
          </c:tx>
          <c:spPr>
            <a:solidFill>
              <a:srgbClr val="E87308"/>
            </a:solidFill>
            <a:ln>
              <a:solidFill>
                <a:srgbClr val="FFFFFF"/>
              </a:solidFill>
            </a:ln>
          </c:spPr>
          <c:invertIfNegative val="0"/>
          <c:cat>
            <c:strRef>
              <c:f>'NSWOS demersal seiners'!$I$161:$K$161</c:f>
              <c:strCache>
                <c:ptCount val="3"/>
                <c:pt idx="0">
                  <c:v>Most
profitable
quartile</c:v>
                </c:pt>
                <c:pt idx="1">
                  <c:v>Middle 
two quartiles</c:v>
                </c:pt>
                <c:pt idx="2">
                  <c:v>Least
profitable
quartile</c:v>
                </c:pt>
              </c:strCache>
            </c:strRef>
          </c:cat>
          <c:val>
            <c:numRef>
              <c:f>'NSWOS demersal seiners'!$I$163:$K$163</c:f>
              <c:numCache>
                <c:formatCode>0%</c:formatCode>
                <c:ptCount val="3"/>
                <c:pt idx="0">
                  <c:v>0</c:v>
                </c:pt>
                <c:pt idx="1">
                  <c:v>0.25422216873279785</c:v>
                </c:pt>
                <c:pt idx="2">
                  <c:v>0</c:v>
                </c:pt>
              </c:numCache>
            </c:numRef>
          </c:val>
          <c:extLst>
            <c:ext xmlns:c16="http://schemas.microsoft.com/office/drawing/2014/chart" uri="{C3380CC4-5D6E-409C-BE32-E72D297353CC}">
              <c16:uniqueId val="{00000001-28D9-4160-B3A0-76676823147C}"/>
            </c:ext>
          </c:extLst>
        </c:ser>
        <c:ser>
          <c:idx val="2"/>
          <c:order val="2"/>
          <c:tx>
            <c:strRef>
              <c:f>'NSWOS demersal seiners'!$H$164</c:f>
              <c:strCache>
                <c:ptCount val="1"/>
                <c:pt idx="0">
                  <c:v>Whiting</c:v>
                </c:pt>
              </c:strCache>
            </c:strRef>
          </c:tx>
          <c:spPr>
            <a:solidFill>
              <a:srgbClr val="648C2E"/>
            </a:solidFill>
            <a:ln>
              <a:solidFill>
                <a:srgbClr val="FFFFFF"/>
              </a:solidFill>
            </a:ln>
          </c:spPr>
          <c:invertIfNegative val="0"/>
          <c:cat>
            <c:strRef>
              <c:f>'NSWOS demersal seiners'!$I$161:$K$161</c:f>
              <c:strCache>
                <c:ptCount val="3"/>
                <c:pt idx="0">
                  <c:v>Most
profitable
quartile</c:v>
                </c:pt>
                <c:pt idx="1">
                  <c:v>Middle 
two quartiles</c:v>
                </c:pt>
                <c:pt idx="2">
                  <c:v>Least
profitable
quartile</c:v>
                </c:pt>
              </c:strCache>
            </c:strRef>
          </c:cat>
          <c:val>
            <c:numRef>
              <c:f>'NSWOS demersal seiners'!$I$164:$K$164</c:f>
              <c:numCache>
                <c:formatCode>0%</c:formatCode>
                <c:ptCount val="3"/>
                <c:pt idx="0">
                  <c:v>0</c:v>
                </c:pt>
                <c:pt idx="1">
                  <c:v>0.18845013149977791</c:v>
                </c:pt>
                <c:pt idx="2">
                  <c:v>0</c:v>
                </c:pt>
              </c:numCache>
            </c:numRef>
          </c:val>
          <c:extLst>
            <c:ext xmlns:c16="http://schemas.microsoft.com/office/drawing/2014/chart" uri="{C3380CC4-5D6E-409C-BE32-E72D297353CC}">
              <c16:uniqueId val="{00000002-28D9-4160-B3A0-76676823147C}"/>
            </c:ext>
          </c:extLst>
        </c:ser>
        <c:ser>
          <c:idx val="3"/>
          <c:order val="3"/>
          <c:tx>
            <c:strRef>
              <c:f>'NSWOS demersal seiners'!$H$165</c:f>
              <c:strCache>
                <c:ptCount val="1"/>
                <c:pt idx="0">
                  <c:v>Hake</c:v>
                </c:pt>
              </c:strCache>
            </c:strRef>
          </c:tx>
          <c:spPr>
            <a:solidFill>
              <a:srgbClr val="C1D119"/>
            </a:solidFill>
            <a:ln>
              <a:solidFill>
                <a:srgbClr val="FFFFFF"/>
              </a:solidFill>
            </a:ln>
          </c:spPr>
          <c:invertIfNegative val="0"/>
          <c:cat>
            <c:strRef>
              <c:f>'NSWOS demersal seiners'!$I$161:$K$161</c:f>
              <c:strCache>
                <c:ptCount val="3"/>
                <c:pt idx="0">
                  <c:v>Most
profitable
quartile</c:v>
                </c:pt>
                <c:pt idx="1">
                  <c:v>Middle 
two quartiles</c:v>
                </c:pt>
                <c:pt idx="2">
                  <c:v>Least
profitable
quartile</c:v>
                </c:pt>
              </c:strCache>
            </c:strRef>
          </c:cat>
          <c:val>
            <c:numRef>
              <c:f>'NSWOS demersal seiners'!$I$165:$K$165</c:f>
              <c:numCache>
                <c:formatCode>0%</c:formatCode>
                <c:ptCount val="3"/>
                <c:pt idx="0">
                  <c:v>0</c:v>
                </c:pt>
                <c:pt idx="1">
                  <c:v>7.8242774073347204E-2</c:v>
                </c:pt>
                <c:pt idx="2">
                  <c:v>0</c:v>
                </c:pt>
              </c:numCache>
            </c:numRef>
          </c:val>
          <c:extLst>
            <c:ext xmlns:c16="http://schemas.microsoft.com/office/drawing/2014/chart" uri="{C3380CC4-5D6E-409C-BE32-E72D297353CC}">
              <c16:uniqueId val="{00000003-28D9-4160-B3A0-76676823147C}"/>
            </c:ext>
          </c:extLst>
        </c:ser>
        <c:ser>
          <c:idx val="4"/>
          <c:order val="4"/>
          <c:tx>
            <c:strRef>
              <c:f>'NSWOS demersal seiners'!$H$166</c:f>
              <c:strCache>
                <c:ptCount val="1"/>
                <c:pt idx="0">
                  <c:v>Megrim</c:v>
                </c:pt>
              </c:strCache>
            </c:strRef>
          </c:tx>
          <c:spPr>
            <a:solidFill>
              <a:srgbClr val="FED825"/>
            </a:solidFill>
            <a:ln>
              <a:solidFill>
                <a:srgbClr val="FFFFFF"/>
              </a:solidFill>
            </a:ln>
          </c:spPr>
          <c:invertIfNegative val="0"/>
          <c:cat>
            <c:strRef>
              <c:f>'NSWOS demersal seiners'!$I$161:$K$161</c:f>
              <c:strCache>
                <c:ptCount val="3"/>
                <c:pt idx="0">
                  <c:v>Most
profitable
quartile</c:v>
                </c:pt>
                <c:pt idx="1">
                  <c:v>Middle 
two quartiles</c:v>
                </c:pt>
                <c:pt idx="2">
                  <c:v>Least
profitable
quartile</c:v>
                </c:pt>
              </c:strCache>
            </c:strRef>
          </c:cat>
          <c:val>
            <c:numRef>
              <c:f>'NSWOS demersal seiners'!$I$166:$K$166</c:f>
              <c:numCache>
                <c:formatCode>0%</c:formatCode>
                <c:ptCount val="3"/>
                <c:pt idx="0">
                  <c:v>0</c:v>
                </c:pt>
                <c:pt idx="1">
                  <c:v>3.721283059433747E-2</c:v>
                </c:pt>
                <c:pt idx="2">
                  <c:v>0</c:v>
                </c:pt>
              </c:numCache>
            </c:numRef>
          </c:val>
          <c:extLst>
            <c:ext xmlns:c16="http://schemas.microsoft.com/office/drawing/2014/chart" uri="{C3380CC4-5D6E-409C-BE32-E72D297353CC}">
              <c16:uniqueId val="{00000004-28D9-4160-B3A0-76676823147C}"/>
            </c:ext>
          </c:extLst>
        </c:ser>
        <c:ser>
          <c:idx val="5"/>
          <c:order val="5"/>
          <c:tx>
            <c:strRef>
              <c:f>'NSWOS demersal seiners'!$H$167</c:f>
              <c:strCache>
                <c:ptCount val="1"/>
                <c:pt idx="0">
                  <c:v>Plaice</c:v>
                </c:pt>
              </c:strCache>
            </c:strRef>
          </c:tx>
          <c:spPr>
            <a:solidFill>
              <a:srgbClr val="E84A38"/>
            </a:solidFill>
            <a:ln>
              <a:solidFill>
                <a:srgbClr val="FFFFFF"/>
              </a:solidFill>
            </a:ln>
          </c:spPr>
          <c:invertIfNegative val="0"/>
          <c:cat>
            <c:strRef>
              <c:f>'NSWOS demersal seiners'!$I$161:$K$161</c:f>
              <c:strCache>
                <c:ptCount val="3"/>
                <c:pt idx="0">
                  <c:v>Most
profitable
quartile</c:v>
                </c:pt>
                <c:pt idx="1">
                  <c:v>Middle 
two quartiles</c:v>
                </c:pt>
                <c:pt idx="2">
                  <c:v>Least
profitable
quartile</c:v>
                </c:pt>
              </c:strCache>
            </c:strRef>
          </c:cat>
          <c:val>
            <c:numRef>
              <c:f>'NSWOS demersal seiners'!$I$167:$K$167</c:f>
              <c:numCache>
                <c:formatCode>0%</c:formatCode>
                <c:ptCount val="3"/>
                <c:pt idx="0">
                  <c:v>0</c:v>
                </c:pt>
                <c:pt idx="1">
                  <c:v>0</c:v>
                </c:pt>
                <c:pt idx="2">
                  <c:v>0</c:v>
                </c:pt>
              </c:numCache>
            </c:numRef>
          </c:val>
          <c:extLst>
            <c:ext xmlns:c16="http://schemas.microsoft.com/office/drawing/2014/chart" uri="{C3380CC4-5D6E-409C-BE32-E72D297353CC}">
              <c16:uniqueId val="{00000005-28D9-4160-B3A0-76676823147C}"/>
            </c:ext>
          </c:extLst>
        </c:ser>
        <c:ser>
          <c:idx val="6"/>
          <c:order val="6"/>
          <c:tx>
            <c:strRef>
              <c:f>'NSWOS demersal seiners'!$H$168</c:f>
              <c:strCache>
                <c:ptCount val="1"/>
                <c:pt idx="0">
                  <c:v>Squid</c:v>
                </c:pt>
              </c:strCache>
            </c:strRef>
          </c:tx>
          <c:spPr>
            <a:solidFill>
              <a:srgbClr val="707271"/>
            </a:solidFill>
            <a:ln>
              <a:solidFill>
                <a:srgbClr val="FFFFFF"/>
              </a:solidFill>
            </a:ln>
          </c:spPr>
          <c:invertIfNegative val="0"/>
          <c:cat>
            <c:strRef>
              <c:f>'NSWOS demersal seiners'!$I$161:$K$161</c:f>
              <c:strCache>
                <c:ptCount val="3"/>
                <c:pt idx="0">
                  <c:v>Most
profitable
quartile</c:v>
                </c:pt>
                <c:pt idx="1">
                  <c:v>Middle 
two quartiles</c:v>
                </c:pt>
                <c:pt idx="2">
                  <c:v>Least
profitable
quartile</c:v>
                </c:pt>
              </c:strCache>
            </c:strRef>
          </c:cat>
          <c:val>
            <c:numRef>
              <c:f>'NSWOS demersal seiners'!$I$168:$K$168</c:f>
              <c:numCache>
                <c:formatCode>0%</c:formatCode>
                <c:ptCount val="3"/>
                <c:pt idx="0">
                  <c:v>0</c:v>
                </c:pt>
                <c:pt idx="1">
                  <c:v>0</c:v>
                </c:pt>
                <c:pt idx="2">
                  <c:v>0</c:v>
                </c:pt>
              </c:numCache>
            </c:numRef>
          </c:val>
          <c:extLst>
            <c:ext xmlns:c16="http://schemas.microsoft.com/office/drawing/2014/chart" uri="{C3380CC4-5D6E-409C-BE32-E72D297353CC}">
              <c16:uniqueId val="{00000006-28D9-4160-B3A0-76676823147C}"/>
            </c:ext>
          </c:extLst>
        </c:ser>
        <c:ser>
          <c:idx val="7"/>
          <c:order val="7"/>
          <c:tx>
            <c:strRef>
              <c:f>'NSWOS demersal seiners'!$H$169</c:f>
              <c:strCache>
                <c:ptCount val="1"/>
                <c:pt idx="0">
                  <c:v>Saithe</c:v>
                </c:pt>
              </c:strCache>
            </c:strRef>
          </c:tx>
          <c:spPr>
            <a:solidFill>
              <a:srgbClr val="0F9AA9"/>
            </a:solidFill>
            <a:ln>
              <a:solidFill>
                <a:srgbClr val="FFFFFF"/>
              </a:solidFill>
            </a:ln>
          </c:spPr>
          <c:invertIfNegative val="0"/>
          <c:cat>
            <c:strRef>
              <c:f>'NSWOS demersal seiners'!$I$161:$K$161</c:f>
              <c:strCache>
                <c:ptCount val="3"/>
                <c:pt idx="0">
                  <c:v>Most
profitable
quartile</c:v>
                </c:pt>
                <c:pt idx="1">
                  <c:v>Middle 
two quartiles</c:v>
                </c:pt>
                <c:pt idx="2">
                  <c:v>Least
profitable
quartile</c:v>
                </c:pt>
              </c:strCache>
            </c:strRef>
          </c:cat>
          <c:val>
            <c:numRef>
              <c:f>'NSWOS demersal seiners'!$I$169:$K$169</c:f>
              <c:numCache>
                <c:formatCode>0%</c:formatCode>
                <c:ptCount val="3"/>
                <c:pt idx="0">
                  <c:v>0</c:v>
                </c:pt>
                <c:pt idx="1">
                  <c:v>0</c:v>
                </c:pt>
                <c:pt idx="2">
                  <c:v>0</c:v>
                </c:pt>
              </c:numCache>
            </c:numRef>
          </c:val>
          <c:extLst>
            <c:ext xmlns:c16="http://schemas.microsoft.com/office/drawing/2014/chart" uri="{C3380CC4-5D6E-409C-BE32-E72D297353CC}">
              <c16:uniqueId val="{00000007-28D9-4160-B3A0-76676823147C}"/>
            </c:ext>
          </c:extLst>
        </c:ser>
        <c:ser>
          <c:idx val="8"/>
          <c:order val="8"/>
          <c:tx>
            <c:strRef>
              <c:f>'NSWOS demersal seiners'!$H$170</c:f>
              <c:strCache>
                <c:ptCount val="1"/>
                <c:pt idx="0">
                  <c:v>Others</c:v>
                </c:pt>
              </c:strCache>
            </c:strRef>
          </c:tx>
          <c:spPr>
            <a:solidFill>
              <a:srgbClr val="55585A"/>
            </a:solidFill>
            <a:ln>
              <a:solidFill>
                <a:srgbClr val="FFFFFF"/>
              </a:solidFill>
            </a:ln>
          </c:spPr>
          <c:invertIfNegative val="0"/>
          <c:cat>
            <c:strRef>
              <c:f>'NSWOS demersal seiners'!$I$161:$K$161</c:f>
              <c:strCache>
                <c:ptCount val="3"/>
                <c:pt idx="0">
                  <c:v>Most
profitable
quartile</c:v>
                </c:pt>
                <c:pt idx="1">
                  <c:v>Middle 
two quartiles</c:v>
                </c:pt>
                <c:pt idx="2">
                  <c:v>Least
profitable
quartile</c:v>
                </c:pt>
              </c:strCache>
            </c:strRef>
          </c:cat>
          <c:val>
            <c:numRef>
              <c:f>'NSWOS demersal seiners'!$I$170:$K$170</c:f>
              <c:numCache>
                <c:formatCode>0%</c:formatCode>
                <c:ptCount val="3"/>
                <c:pt idx="0">
                  <c:v>0</c:v>
                </c:pt>
                <c:pt idx="1">
                  <c:v>0.10165833536413293</c:v>
                </c:pt>
                <c:pt idx="2">
                  <c:v>0</c:v>
                </c:pt>
              </c:numCache>
            </c:numRef>
          </c:val>
          <c:extLst>
            <c:ext xmlns:c16="http://schemas.microsoft.com/office/drawing/2014/chart" uri="{C3380CC4-5D6E-409C-BE32-E72D297353CC}">
              <c16:uniqueId val="{00000008-28D9-4160-B3A0-76676823147C}"/>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'NSWOS demersal seiners'!$K$139</c:f>
              <c:strCache>
                <c:ptCount val="1"/>
                <c:pt idx="0">
                  <c:v>Total income</c:v>
                </c:pt>
              </c:strCache>
            </c:strRef>
          </c:tx>
          <c:spPr>
            <a:solidFill>
              <a:srgbClr val="087CBB"/>
            </a:solidFill>
            <a:ln>
              <a:solidFill>
                <a:schemeClr val="accent1"/>
              </a:solidFill>
            </a:ln>
          </c:spPr>
          <c:invertIfNegative val="0"/>
          <c:cat>
            <c:strRef>
              <c:f>'NSWOS demersal seiners'!$L$138:$N$138</c:f>
              <c:strCache>
                <c:ptCount val="3"/>
                <c:pt idx="0">
                  <c:v>Most
profitable
quartile</c:v>
                </c:pt>
                <c:pt idx="1">
                  <c:v>Middle
two quartiles</c:v>
                </c:pt>
                <c:pt idx="2">
                  <c:v>Least
profitable
quartile</c:v>
                </c:pt>
              </c:strCache>
            </c:strRef>
          </c:cat>
          <c:val>
            <c:numRef>
              <c:f>'NSWOS demersal seiners'!$L$139:$N$139</c:f>
              <c:numCache>
                <c:formatCode>#,##0</c:formatCode>
                <c:ptCount val="3"/>
                <c:pt idx="0">
                  <c:v>0</c:v>
                </c:pt>
                <c:pt idx="1">
                  <c:v>1808.3250625000001</c:v>
                </c:pt>
                <c:pt idx="2">
                  <c:v>0</c:v>
                </c:pt>
              </c:numCache>
            </c:numRef>
          </c:val>
          <c:extLst>
            <c:ext xmlns:c16="http://schemas.microsoft.com/office/drawing/2014/chart" uri="{C3380CC4-5D6E-409C-BE32-E72D297353CC}">
              <c16:uniqueId val="{00000000-CF8B-4C1F-8AB9-7F8F90466566}"/>
            </c:ext>
          </c:extLst>
        </c:ser>
        <c:ser>
          <c:idx val="1"/>
          <c:order val="1"/>
          <c:tx>
            <c:strRef>
              <c:f>'NSWOS demersal seiners'!$K$140</c:f>
              <c:strCache>
                <c:ptCount val="1"/>
                <c:pt idx="0">
                  <c:v>Operating costs</c:v>
                </c:pt>
              </c:strCache>
            </c:strRef>
          </c:tx>
          <c:spPr>
            <a:solidFill>
              <a:srgbClr val="E87308"/>
            </a:solidFill>
          </c:spPr>
          <c:invertIfNegative val="0"/>
          <c:cat>
            <c:strRef>
              <c:f>'NSWOS demersal seiners'!$L$138:$N$138</c:f>
              <c:strCache>
                <c:ptCount val="3"/>
                <c:pt idx="0">
                  <c:v>Most
profitable
quartile</c:v>
                </c:pt>
                <c:pt idx="1">
                  <c:v>Middle
two quartiles</c:v>
                </c:pt>
                <c:pt idx="2">
                  <c:v>Least
profitable
quartile</c:v>
                </c:pt>
              </c:strCache>
            </c:strRef>
          </c:cat>
          <c:val>
            <c:numRef>
              <c:f>'NSWOS demersal seiners'!$L$140:$N$140</c:f>
              <c:numCache>
                <c:formatCode>#,##0</c:formatCode>
                <c:ptCount val="3"/>
                <c:pt idx="0">
                  <c:v>0</c:v>
                </c:pt>
                <c:pt idx="1">
                  <c:v>1588.9938125000001</c:v>
                </c:pt>
                <c:pt idx="2">
                  <c:v>0</c:v>
                </c:pt>
              </c:numCache>
            </c:numRef>
          </c:val>
          <c:extLst>
            <c:ext xmlns:c16="http://schemas.microsoft.com/office/drawing/2014/chart" uri="{C3380CC4-5D6E-409C-BE32-E72D297353CC}">
              <c16:uniqueId val="{00000001-CF8B-4C1F-8AB9-7F8F90466566}"/>
            </c:ext>
          </c:extLst>
        </c:ser>
        <c:ser>
          <c:idx val="2"/>
          <c:order val="2"/>
          <c:tx>
            <c:strRef>
              <c:f>'NSWOS demersal seiners'!$K$141</c:f>
              <c:strCache>
                <c:ptCount val="1"/>
                <c:pt idx="0">
                  <c:v>Operating profit</c:v>
                </c:pt>
              </c:strCache>
            </c:strRef>
          </c:tx>
          <c:spPr>
            <a:solidFill>
              <a:srgbClr val="51AA81"/>
            </a:solidFill>
          </c:spPr>
          <c:invertIfNegative val="0"/>
          <c:cat>
            <c:strRef>
              <c:f>'NSWOS demersal seiners'!$L$138:$N$138</c:f>
              <c:strCache>
                <c:ptCount val="3"/>
                <c:pt idx="0">
                  <c:v>Most
profitable
quartile</c:v>
                </c:pt>
                <c:pt idx="1">
                  <c:v>Middle
two quartiles</c:v>
                </c:pt>
                <c:pt idx="2">
                  <c:v>Least
profitable
quartile</c:v>
                </c:pt>
              </c:strCache>
            </c:strRef>
          </c:cat>
          <c:val>
            <c:numRef>
              <c:f>'NSWOS demersal seiners'!$L$141:$N$141</c:f>
              <c:numCache>
                <c:formatCode>#,##0</c:formatCode>
                <c:ptCount val="3"/>
                <c:pt idx="0">
                  <c:v>0</c:v>
                </c:pt>
                <c:pt idx="1">
                  <c:v>219.33125000000001</c:v>
                </c:pt>
                <c:pt idx="2">
                  <c:v>0</c:v>
                </c:pt>
              </c:numCache>
            </c:numRef>
          </c:val>
          <c:extLst>
            <c:ext xmlns:c16="http://schemas.microsoft.com/office/drawing/2014/chart" uri="{C3380CC4-5D6E-409C-BE32-E72D297353CC}">
              <c16:uniqueId val="{00000002-CF8B-4C1F-8AB9-7F8F90466566}"/>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'NSWOS demersal seiners'!$K$142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o300kW'!$A$48</c:f>
          <c:strCache>
            <c:ptCount val="1"/>
            <c:pt idx="0">
              <c:v>Landings per kW day at sea (kg)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5132-4B2A-8B64-7B4F887D6ED4}"/>
              </c:ext>
            </c:extLst>
          </c:dPt>
          <c:dPt>
            <c:idx val="10"/>
            <c:bubble3D val="0"/>
            <c:spPr>
              <a:ln w="57150">
                <a:solidFill>
                  <a:srgbClr val="2273B9"/>
                </a:solidFill>
                <a:prstDash val="sysDot"/>
              </a:ln>
            </c:spPr>
            <c:extLst>
              <c:ext xmlns:c16="http://schemas.microsoft.com/office/drawing/2014/chart" uri="{C3380CC4-5D6E-409C-BE32-E72D297353CC}">
                <c16:uniqueId val="{00000003-5132-4B2A-8B64-7B4F887D6ED4}"/>
              </c:ext>
            </c:extLst>
          </c:dPt>
          <c:cat>
            <c:numRef>
              <c:f>'NSWOS demersal u24m o300kW'!$D$2:$N$2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'NSWOS demersal u24m o300kW'!$D$21:$N$21</c:f>
              <c:numCache>
                <c:formatCode>#,##0.00</c:formatCode>
                <c:ptCount val="11"/>
                <c:pt idx="0">
                  <c:v>4.2124677135255526</c:v>
                </c:pt>
                <c:pt idx="1">
                  <c:v>4.4370252703888431</c:v>
                </c:pt>
                <c:pt idx="2">
                  <c:v>4.611252551815026</c:v>
                </c:pt>
                <c:pt idx="3">
                  <c:v>5.1767431474741032</c:v>
                </c:pt>
                <c:pt idx="4">
                  <c:v>5.2355570425538271</c:v>
                </c:pt>
                <c:pt idx="5">
                  <c:v>4.5100956814444384</c:v>
                </c:pt>
                <c:pt idx="6">
                  <c:v>5.2149893381212475</c:v>
                </c:pt>
                <c:pt idx="7">
                  <c:v>5.6556177573875503</c:v>
                </c:pt>
                <c:pt idx="8">
                  <c:v>4.8257298778551494</c:v>
                </c:pt>
                <c:pt idx="9">
                  <c:v>5.354059145631795</c:v>
                </c:pt>
                <c:pt idx="10">
                  <c:v>4.7199501483194943</c:v>
                </c:pt>
              </c:numCache>
            </c:numRef>
          </c:val>
          <c:smooth val="0"/>
          <c:extLst>
            <c:ext xmlns:c16="http://schemas.microsoft.com/office/drawing/2014/chart" uri="{C3380CC4-5D6E-409C-BE32-E72D297353CC}">
              <c16:uniqueId val="{00000004-5132-4B2A-8B64-7B4F887D6ED4}"/>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o300kW'!$A$49</c:f>
          <c:strCache>
            <c:ptCount val="1"/>
            <c:pt idx="0">
              <c:v>Fishing income per kW day at sea (£)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A8FA-47B1-BDD9-B7B2C487948E}"/>
              </c:ext>
            </c:extLst>
          </c:dPt>
          <c:dPt>
            <c:idx val="10"/>
            <c:bubble3D val="0"/>
            <c:spPr>
              <a:ln w="57150">
                <a:solidFill>
                  <a:srgbClr val="648C2E"/>
                </a:solidFill>
                <a:prstDash val="sysDot"/>
              </a:ln>
            </c:spPr>
            <c:extLst>
              <c:ext xmlns:c16="http://schemas.microsoft.com/office/drawing/2014/chart" uri="{C3380CC4-5D6E-409C-BE32-E72D297353CC}">
                <c16:uniqueId val="{00000003-A8FA-47B1-BDD9-B7B2C487948E}"/>
              </c:ext>
            </c:extLst>
          </c:dPt>
          <c:cat>
            <c:numRef>
              <c:f>'NSWOS demersal u24m o300kW'!$D$2:$N$2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'NSWOS demersal u24m o300kW'!$D$22:$N$22</c:f>
              <c:numCache>
                <c:formatCode>#,##0.00</c:formatCode>
                <c:ptCount val="11"/>
                <c:pt idx="0">
                  <c:v>9.7862292775477897</c:v>
                </c:pt>
                <c:pt idx="1">
                  <c:v>11.537613332342399</c:v>
                </c:pt>
                <c:pt idx="2">
                  <c:v>10.2529115732529</c:v>
                </c:pt>
                <c:pt idx="3">
                  <c:v>9.9251376568618692</c:v>
                </c:pt>
                <c:pt idx="4">
                  <c:v>11.3182411462031</c:v>
                </c:pt>
                <c:pt idx="5">
                  <c:v>9.3257750685475393</c:v>
                </c:pt>
                <c:pt idx="6">
                  <c:v>12.2244474393794</c:v>
                </c:pt>
                <c:pt idx="7">
                  <c:v>14.141016805386201</c:v>
                </c:pt>
                <c:pt idx="8">
                  <c:v>11.631853498306899</c:v>
                </c:pt>
                <c:pt idx="9">
                  <c:v>13.86712210086</c:v>
                </c:pt>
                <c:pt idx="10">
                  <c:v>9.6433852045436712</c:v>
                </c:pt>
              </c:numCache>
            </c:numRef>
          </c:val>
          <c:smooth val="0"/>
          <c:extLst>
            <c:ext xmlns:c16="http://schemas.microsoft.com/office/drawing/2014/chart" uri="{C3380CC4-5D6E-409C-BE32-E72D297353CC}">
              <c16:uniqueId val="{00000004-A8FA-47B1-BDD9-B7B2C487948E}"/>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o300kW'!$B$62</c:f>
          <c:strCache>
            <c:ptCount val="1"/>
            <c:pt idx="0">
              <c:v>Total cost per kW day at sea (£)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E1B6-4D52-AF6C-8A5505B2FE63}"/>
              </c:ext>
            </c:extLst>
          </c:dPt>
          <c:dPt>
            <c:idx val="10"/>
            <c:bubble3D val="0"/>
            <c:spPr>
              <a:ln w="57150">
                <a:solidFill>
                  <a:srgbClr val="087CBB"/>
                </a:solidFill>
                <a:prstDash val="sysDot"/>
              </a:ln>
            </c:spPr>
            <c:extLst>
              <c:ext xmlns:c16="http://schemas.microsoft.com/office/drawing/2014/chart" uri="{C3380CC4-5D6E-409C-BE32-E72D297353CC}">
                <c16:uniqueId val="{00000003-E1B6-4D52-AF6C-8A5505B2FE63}"/>
              </c:ext>
            </c:extLst>
          </c:dPt>
          <c:cat>
            <c:numRef>
              <c:f>'NSWOS demersal u24m o300kW'!$D$2:$N$2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'NSWOS demersal u24m o300kW'!$D$23:$N$23</c:f>
              <c:numCache>
                <c:formatCode>#,##0.00</c:formatCode>
                <c:ptCount val="11"/>
                <c:pt idx="0">
                  <c:v>8.6260257130977198</c:v>
                </c:pt>
                <c:pt idx="1">
                  <c:v>10.787475783868</c:v>
                </c:pt>
                <c:pt idx="2">
                  <c:v>10.735692271256401</c:v>
                </c:pt>
                <c:pt idx="3">
                  <c:v>9.8378067492993004</c:v>
                </c:pt>
                <c:pt idx="4">
                  <c:v>10.116865171610099</c:v>
                </c:pt>
                <c:pt idx="5">
                  <c:v>8.5497649252283292</c:v>
                </c:pt>
                <c:pt idx="6">
                  <c:v>10.6144453343697</c:v>
                </c:pt>
                <c:pt idx="7">
                  <c:v>11.8361125598376</c:v>
                </c:pt>
                <c:pt idx="8">
                  <c:v>10.231421789780301</c:v>
                </c:pt>
                <c:pt idx="9">
                  <c:v>11.0804589710458</c:v>
                </c:pt>
                <c:pt idx="10">
                  <c:v>8.6152864889471434</c:v>
                </c:pt>
              </c:numCache>
            </c:numRef>
          </c:val>
          <c:smooth val="0"/>
          <c:extLst>
            <c:ext xmlns:c16="http://schemas.microsoft.com/office/drawing/2014/chart" uri="{C3380CC4-5D6E-409C-BE32-E72D297353CC}">
              <c16:uniqueId val="{00000004-E1B6-4D52-AF6C-8A5505B2FE63}"/>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o300kW'!$K$48</c:f>
          <c:strCache>
            <c:ptCount val="1"/>
            <c:pt idx="0">
              <c:v>Operating profit per kW day at sea (£)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DF32-48BA-A83B-3A64785BC276}"/>
              </c:ext>
            </c:extLst>
          </c:dPt>
          <c:dPt>
            <c:idx val="10"/>
            <c:bubble3D val="0"/>
            <c:spPr>
              <a:ln w="57150">
                <a:solidFill>
                  <a:schemeClr val="accent3"/>
                </a:solidFill>
                <a:prstDash val="sysDot"/>
              </a:ln>
            </c:spPr>
            <c:extLst>
              <c:ext xmlns:c16="http://schemas.microsoft.com/office/drawing/2014/chart" uri="{C3380CC4-5D6E-409C-BE32-E72D297353CC}">
                <c16:uniqueId val="{00000003-DF32-48BA-A83B-3A64785BC276}"/>
              </c:ext>
            </c:extLst>
          </c:dPt>
          <c:cat>
            <c:numRef>
              <c:f>'NSWOS demersal u24m o300kW'!$D$2:$N$2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'NSWOS demersal u24m o300kW'!$D$24:$N$24</c:f>
              <c:numCache>
                <c:formatCode>#,##0.00</c:formatCode>
                <c:ptCount val="11"/>
                <c:pt idx="0">
                  <c:v>1.4306983661966599</c:v>
                </c:pt>
                <c:pt idx="1">
                  <c:v>1.6316649255823701</c:v>
                </c:pt>
                <c:pt idx="2">
                  <c:v>1.0569356977247999</c:v>
                </c:pt>
                <c:pt idx="3">
                  <c:v>1.80017036882104</c:v>
                </c:pt>
                <c:pt idx="4">
                  <c:v>1.90692597176586</c:v>
                </c:pt>
                <c:pt idx="5">
                  <c:v>1.2048874544198001</c:v>
                </c:pt>
                <c:pt idx="6">
                  <c:v>2.3036685449716701</c:v>
                </c:pt>
                <c:pt idx="7">
                  <c:v>4.4260274296456199</c:v>
                </c:pt>
                <c:pt idx="8">
                  <c:v>1.9043304336275599</c:v>
                </c:pt>
                <c:pt idx="9">
                  <c:v>3.1848723594525699</c:v>
                </c:pt>
                <c:pt idx="10">
                  <c:v>1.3938694608944711</c:v>
                </c:pt>
              </c:numCache>
            </c:numRef>
          </c:val>
          <c:smooth val="0"/>
          <c:extLst>
            <c:ext xmlns:c16="http://schemas.microsoft.com/office/drawing/2014/chart" uri="{C3380CC4-5D6E-409C-BE32-E72D297353CC}">
              <c16:uniqueId val="{00000004-DF32-48BA-A83B-3A64785BC276}"/>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o300kW'!$A$50</c:f>
          <c:strCache>
            <c:ptCount val="1"/>
            <c:pt idx="0">
              <c:v>Average price per tonne landed (£)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A66F-4E77-B912-5BEB083451D5}"/>
              </c:ext>
            </c:extLst>
          </c:dPt>
          <c:dPt>
            <c:idx val="10"/>
            <c:bubble3D val="0"/>
            <c:spPr>
              <a:ln w="57150">
                <a:solidFill>
                  <a:schemeClr val="accent4"/>
                </a:solidFill>
                <a:prstDash val="sysDot"/>
              </a:ln>
            </c:spPr>
            <c:extLst>
              <c:ext xmlns:c16="http://schemas.microsoft.com/office/drawing/2014/chart" uri="{C3380CC4-5D6E-409C-BE32-E72D297353CC}">
                <c16:uniqueId val="{00000003-A66F-4E77-B912-5BEB083451D5}"/>
              </c:ext>
            </c:extLst>
          </c:dPt>
          <c:cat>
            <c:numRef>
              <c:f>'NSWOS demersal u24m o300kW'!$D$2:$M$2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'NSWOS demersal u24m o300kW'!$D$20:$N$20</c:f>
              <c:numCache>
                <c:formatCode>#,##0</c:formatCode>
                <c:ptCount val="11"/>
                <c:pt idx="0">
                  <c:v>2323</c:v>
                </c:pt>
                <c:pt idx="1">
                  <c:v>2600</c:v>
                </c:pt>
                <c:pt idx="2">
                  <c:v>2223</c:v>
                </c:pt>
                <c:pt idx="3">
                  <c:v>1917</c:v>
                </c:pt>
                <c:pt idx="4">
                  <c:v>2162</c:v>
                </c:pt>
                <c:pt idx="5">
                  <c:v>2068</c:v>
                </c:pt>
                <c:pt idx="6">
                  <c:v>2344</c:v>
                </c:pt>
                <c:pt idx="7">
                  <c:v>2500</c:v>
                </c:pt>
                <c:pt idx="8">
                  <c:v>2410</c:v>
                </c:pt>
                <c:pt idx="9">
                  <c:v>2590</c:v>
                </c:pt>
                <c:pt idx="10">
                  <c:v>2043</c:v>
                </c:pt>
              </c:numCache>
            </c:numRef>
          </c:val>
          <c:smooth val="0"/>
          <c:extLst>
            <c:ext xmlns:c16="http://schemas.microsoft.com/office/drawing/2014/chart" uri="{C3380CC4-5D6E-409C-BE32-E72D297353CC}">
              <c16:uniqueId val="{00000004-A66F-4E77-B912-5BEB083451D5}"/>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o250kW'!$K$77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VIIa nephrops o250kW'!$C$92</c:f>
              <c:strCache>
                <c:ptCount val="1"/>
                <c:pt idx="0">
                  <c:v>Nephrops</c:v>
                </c:pt>
              </c:strCache>
            </c:strRef>
          </c:tx>
          <c:spPr>
            <a:solidFill>
              <a:srgbClr val="2273B9"/>
            </a:solidFill>
            <a:ln>
              <a:solidFill>
                <a:srgbClr val="FFFFFF"/>
              </a:solidFill>
            </a:ln>
          </c:spPr>
          <c:invertIfNegative val="0"/>
          <c:cat>
            <c:numRef>
              <c:f>'Area VIIa nephrops o250kW'!$D$91:$M$91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o250kW'!$D$92:$M$92</c:f>
              <c:numCache>
                <c:formatCode>0%</c:formatCode>
                <c:ptCount val="10"/>
                <c:pt idx="0">
                  <c:v>0.86371648290654945</c:v>
                </c:pt>
                <c:pt idx="1">
                  <c:v>0.90329188292452767</c:v>
                </c:pt>
                <c:pt idx="2">
                  <c:v>0.85618417137340519</c:v>
                </c:pt>
                <c:pt idx="3">
                  <c:v>0.89523202079674202</c:v>
                </c:pt>
                <c:pt idx="4">
                  <c:v>0.90538709198932132</c:v>
                </c:pt>
                <c:pt idx="5">
                  <c:v>0.90821284781460132</c:v>
                </c:pt>
                <c:pt idx="6">
                  <c:v>0.89171775330334557</c:v>
                </c:pt>
                <c:pt idx="7">
                  <c:v>0.85324076417206496</c:v>
                </c:pt>
                <c:pt idx="8">
                  <c:v>0.91658180104789277</c:v>
                </c:pt>
                <c:pt idx="9">
                  <c:v>0.92341426915150282</c:v>
                </c:pt>
              </c:numCache>
            </c:numRef>
          </c:val>
          <c:extLst>
            <c:ext xmlns:c16="http://schemas.microsoft.com/office/drawing/2014/chart" uri="{C3380CC4-5D6E-409C-BE32-E72D297353CC}">
              <c16:uniqueId val="{00000000-2F31-4474-809F-FC549EF715B6}"/>
            </c:ext>
          </c:extLst>
        </c:ser>
        <c:ser>
          <c:idx val="1"/>
          <c:order val="1"/>
          <c:tx>
            <c:strRef>
              <c:f>'Area VIIa nephrops o250kW'!$C$93</c:f>
              <c:strCache>
                <c:ptCount val="1"/>
                <c:pt idx="0">
                  <c:v>Anglerfish</c:v>
                </c:pt>
              </c:strCache>
            </c:strRef>
          </c:tx>
          <c:spPr>
            <a:solidFill>
              <a:srgbClr val="E87308"/>
            </a:solidFill>
            <a:ln>
              <a:solidFill>
                <a:srgbClr val="FFFFFF"/>
              </a:solidFill>
            </a:ln>
          </c:spPr>
          <c:invertIfNegative val="0"/>
          <c:cat>
            <c:numRef>
              <c:f>'Area VIIa nephrops o250kW'!$D$91:$M$91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o250kW'!$D$93:$M$93</c:f>
              <c:numCache>
                <c:formatCode>0%</c:formatCode>
                <c:ptCount val="10"/>
                <c:pt idx="0">
                  <c:v>2.3285448121050194E-2</c:v>
                </c:pt>
                <c:pt idx="1">
                  <c:v>2.2121364132377305E-2</c:v>
                </c:pt>
                <c:pt idx="2">
                  <c:v>2.8196673500769938E-2</c:v>
                </c:pt>
                <c:pt idx="3">
                  <c:v>2.71442427934948E-2</c:v>
                </c:pt>
                <c:pt idx="4">
                  <c:v>1.7377771930080096E-2</c:v>
                </c:pt>
                <c:pt idx="5">
                  <c:v>2.8000833065877355E-2</c:v>
                </c:pt>
                <c:pt idx="6">
                  <c:v>3.5087955132399061E-2</c:v>
                </c:pt>
                <c:pt idx="7">
                  <c:v>3.393530712684479E-2</c:v>
                </c:pt>
                <c:pt idx="8">
                  <c:v>2.0837254075525509E-2</c:v>
                </c:pt>
                <c:pt idx="9">
                  <c:v>2.2129564547632034E-2</c:v>
                </c:pt>
              </c:numCache>
            </c:numRef>
          </c:val>
          <c:extLst>
            <c:ext xmlns:c16="http://schemas.microsoft.com/office/drawing/2014/chart" uri="{C3380CC4-5D6E-409C-BE32-E72D297353CC}">
              <c16:uniqueId val="{00000001-2F31-4474-809F-FC549EF715B6}"/>
            </c:ext>
          </c:extLst>
        </c:ser>
        <c:ser>
          <c:idx val="2"/>
          <c:order val="2"/>
          <c:tx>
            <c:strRef>
              <c:f>'Area VIIa nephrops o250kW'!$C$94</c:f>
              <c:strCache>
                <c:ptCount val="1"/>
                <c:pt idx="0">
                  <c:v>Haddock</c:v>
                </c:pt>
              </c:strCache>
            </c:strRef>
          </c:tx>
          <c:spPr>
            <a:solidFill>
              <a:srgbClr val="648C2E"/>
            </a:solidFill>
            <a:ln>
              <a:solidFill>
                <a:srgbClr val="FFFFFF"/>
              </a:solidFill>
            </a:ln>
          </c:spPr>
          <c:invertIfNegative val="0"/>
          <c:cat>
            <c:numRef>
              <c:f>'Area VIIa nephrops o250kW'!$D$91:$M$91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o250kW'!$D$94:$M$94</c:f>
              <c:numCache>
                <c:formatCode>0%</c:formatCode>
                <c:ptCount val="10"/>
                <c:pt idx="0">
                  <c:v>1.5061880449251906E-2</c:v>
                </c:pt>
                <c:pt idx="1">
                  <c:v>5.5015256004481549E-3</c:v>
                </c:pt>
                <c:pt idx="2">
                  <c:v>1.5225513977781598E-2</c:v>
                </c:pt>
                <c:pt idx="3">
                  <c:v>1.2621824392172899E-2</c:v>
                </c:pt>
                <c:pt idx="4">
                  <c:v>2.4752147455914617E-2</c:v>
                </c:pt>
                <c:pt idx="5">
                  <c:v>2.9597221565859561E-2</c:v>
                </c:pt>
                <c:pt idx="6">
                  <c:v>2.3901124404744904E-2</c:v>
                </c:pt>
                <c:pt idx="7">
                  <c:v>3.2961328987526184E-2</c:v>
                </c:pt>
                <c:pt idx="8">
                  <c:v>1.9453892154145318E-2</c:v>
                </c:pt>
                <c:pt idx="9">
                  <c:v>1.0642014871307968E-2</c:v>
                </c:pt>
              </c:numCache>
            </c:numRef>
          </c:val>
          <c:extLst>
            <c:ext xmlns:c16="http://schemas.microsoft.com/office/drawing/2014/chart" uri="{C3380CC4-5D6E-409C-BE32-E72D297353CC}">
              <c16:uniqueId val="{00000002-2F31-4474-809F-FC549EF715B6}"/>
            </c:ext>
          </c:extLst>
        </c:ser>
        <c:ser>
          <c:idx val="3"/>
          <c:order val="3"/>
          <c:tx>
            <c:strRef>
              <c:f>'Area VIIa nephrops o250kW'!$C$95</c:f>
              <c:strCache>
                <c:ptCount val="1"/>
                <c:pt idx="0">
                  <c:v>Cuttlefish</c:v>
                </c:pt>
              </c:strCache>
            </c:strRef>
          </c:tx>
          <c:spPr>
            <a:solidFill>
              <a:srgbClr val="C1D119"/>
            </a:solidFill>
            <a:ln>
              <a:solidFill>
                <a:srgbClr val="FFFFFF"/>
              </a:solidFill>
            </a:ln>
          </c:spPr>
          <c:invertIfNegative val="0"/>
          <c:cat>
            <c:numRef>
              <c:f>'Area VIIa nephrops o250kW'!$D$91:$M$91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o250kW'!$D$95:$M$95</c:f>
              <c:numCache>
                <c:formatCode>0%</c:formatCode>
                <c:ptCount val="10"/>
                <c:pt idx="6">
                  <c:v>1.4121946165090427E-2</c:v>
                </c:pt>
                <c:pt idx="7">
                  <c:v>1.8621805524161972E-2</c:v>
                </c:pt>
                <c:pt idx="8">
                  <c:v>8.2859887910111691E-3</c:v>
                </c:pt>
              </c:numCache>
            </c:numRef>
          </c:val>
          <c:extLst>
            <c:ext xmlns:c16="http://schemas.microsoft.com/office/drawing/2014/chart" uri="{C3380CC4-5D6E-409C-BE32-E72D297353CC}">
              <c16:uniqueId val="{00000003-2F31-4474-809F-FC549EF715B6}"/>
            </c:ext>
          </c:extLst>
        </c:ser>
        <c:ser>
          <c:idx val="4"/>
          <c:order val="4"/>
          <c:tx>
            <c:strRef>
              <c:f>'Area VIIa nephrops o250kW'!$C$96</c:f>
              <c:strCache>
                <c:ptCount val="1"/>
                <c:pt idx="0">
                  <c:v>Cod</c:v>
                </c:pt>
              </c:strCache>
            </c:strRef>
          </c:tx>
          <c:spPr>
            <a:solidFill>
              <a:srgbClr val="E84A38"/>
            </a:solidFill>
            <a:ln>
              <a:solidFill>
                <a:srgbClr val="FFFFFF"/>
              </a:solidFill>
            </a:ln>
          </c:spPr>
          <c:invertIfNegative val="0"/>
          <c:cat>
            <c:numRef>
              <c:f>'Area VIIa nephrops o250kW'!$D$91:$M$91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o250kW'!$D$96:$M$96</c:f>
              <c:numCache>
                <c:formatCode>0%</c:formatCode>
                <c:ptCount val="10"/>
                <c:pt idx="0">
                  <c:v>1.5289255079495733E-2</c:v>
                </c:pt>
                <c:pt idx="1">
                  <c:v>1.9648756717777726E-2</c:v>
                </c:pt>
                <c:pt idx="2">
                  <c:v>2.5935553367110113E-2</c:v>
                </c:pt>
                <c:pt idx="3">
                  <c:v>1.7462817663215741E-2</c:v>
                </c:pt>
                <c:pt idx="8">
                  <c:v>6.9334503422756478E-3</c:v>
                </c:pt>
                <c:pt idx="9">
                  <c:v>7.8608883689370926E-3</c:v>
                </c:pt>
              </c:numCache>
            </c:numRef>
          </c:val>
          <c:extLst>
            <c:ext xmlns:c16="http://schemas.microsoft.com/office/drawing/2014/chart" uri="{C3380CC4-5D6E-409C-BE32-E72D297353CC}">
              <c16:uniqueId val="{00000004-2F31-4474-809F-FC549EF715B6}"/>
            </c:ext>
          </c:extLst>
        </c:ser>
        <c:ser>
          <c:idx val="5"/>
          <c:order val="5"/>
          <c:tx>
            <c:strRef>
              <c:f>'Area VIIa nephrops o250kW'!$C$97</c:f>
              <c:strCache>
                <c:ptCount val="1"/>
                <c:pt idx="0">
                  <c:v>Les. Spot. Dog</c:v>
                </c:pt>
              </c:strCache>
            </c:strRef>
          </c:tx>
          <c:spPr>
            <a:solidFill>
              <a:srgbClr val="0F9AA9"/>
            </a:solidFill>
            <a:ln>
              <a:solidFill>
                <a:srgbClr val="FFFFFF"/>
              </a:solidFill>
            </a:ln>
          </c:spPr>
          <c:invertIfNegative val="0"/>
          <c:cat>
            <c:numRef>
              <c:f>'Area VIIa nephrops o250kW'!$D$91:$M$91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o250kW'!$D$97:$M$97</c:f>
              <c:numCache>
                <c:formatCode>0%</c:formatCode>
                <c:ptCount val="10"/>
                <c:pt idx="9">
                  <c:v>1.3111466135333497E-2</c:v>
                </c:pt>
              </c:numCache>
            </c:numRef>
          </c:val>
          <c:extLst>
            <c:ext xmlns:c16="http://schemas.microsoft.com/office/drawing/2014/chart" uri="{C3380CC4-5D6E-409C-BE32-E72D297353CC}">
              <c16:uniqueId val="{00000005-2F31-4474-809F-FC549EF715B6}"/>
            </c:ext>
          </c:extLst>
        </c:ser>
        <c:ser>
          <c:idx val="6"/>
          <c:order val="6"/>
          <c:tx>
            <c:strRef>
              <c:f>'Area VIIa nephrops o250kW'!$C$98</c:f>
              <c:strCache>
                <c:ptCount val="1"/>
                <c:pt idx="0">
                  <c:v>Squid</c:v>
                </c:pt>
              </c:strCache>
            </c:strRef>
          </c:tx>
          <c:spPr>
            <a:solidFill>
              <a:srgbClr val="FED825"/>
            </a:solidFill>
            <a:ln>
              <a:solidFill>
                <a:srgbClr val="FFFFFF"/>
              </a:solidFill>
            </a:ln>
          </c:spPr>
          <c:invertIfNegative val="0"/>
          <c:cat>
            <c:numRef>
              <c:f>'Area VIIa nephrops o250kW'!$D$91:$M$91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o250kW'!$D$98:$M$98</c:f>
              <c:numCache>
                <c:formatCode>0%</c:formatCode>
                <c:ptCount val="10"/>
                <c:pt idx="7">
                  <c:v>9.5386663454149808E-3</c:v>
                </c:pt>
              </c:numCache>
            </c:numRef>
          </c:val>
          <c:extLst>
            <c:ext xmlns:c16="http://schemas.microsoft.com/office/drawing/2014/chart" uri="{C3380CC4-5D6E-409C-BE32-E72D297353CC}">
              <c16:uniqueId val="{00000006-2F31-4474-809F-FC549EF715B6}"/>
            </c:ext>
          </c:extLst>
        </c:ser>
        <c:ser>
          <c:idx val="7"/>
          <c:order val="7"/>
          <c:tx>
            <c:strRef>
              <c:f>'Area VIIa nephrops o250kW'!$C$99</c:f>
              <c:strCache>
                <c:ptCount val="1"/>
                <c:pt idx="0">
                  <c:v>Brill</c:v>
                </c:pt>
              </c:strCache>
            </c:strRef>
          </c:tx>
          <c:spPr>
            <a:solidFill>
              <a:srgbClr val="707271"/>
            </a:solidFill>
            <a:ln>
              <a:solidFill>
                <a:srgbClr val="FFFFFF"/>
              </a:solidFill>
            </a:ln>
          </c:spPr>
          <c:invertIfNegative val="0"/>
          <c:cat>
            <c:numRef>
              <c:f>'Area VIIa nephrops o250kW'!$D$91:$M$91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o250kW'!$D$99:$M$99</c:f>
              <c:numCache>
                <c:formatCode>0%</c:formatCode>
                <c:ptCount val="10"/>
                <c:pt idx="6">
                  <c:v>6.2232000072146984E-3</c:v>
                </c:pt>
              </c:numCache>
            </c:numRef>
          </c:val>
          <c:extLst>
            <c:ext xmlns:c16="http://schemas.microsoft.com/office/drawing/2014/chart" uri="{C3380CC4-5D6E-409C-BE32-E72D297353CC}">
              <c16:uniqueId val="{00000007-2F31-4474-809F-FC549EF715B6}"/>
            </c:ext>
          </c:extLst>
        </c:ser>
        <c:ser>
          <c:idx val="8"/>
          <c:order val="8"/>
          <c:tx>
            <c:strRef>
              <c:f>'Area VIIa nephrops o250kW'!$C$100</c:f>
              <c:strCache>
                <c:ptCount val="1"/>
                <c:pt idx="0">
                  <c:v>Thornback Ray</c:v>
                </c:pt>
              </c:strCache>
            </c:strRef>
          </c:tx>
          <c:spPr>
            <a:solidFill>
              <a:srgbClr val="51AA81"/>
            </a:solidFill>
            <a:ln>
              <a:solidFill>
                <a:srgbClr val="FFFFFF"/>
              </a:solidFill>
            </a:ln>
          </c:spPr>
          <c:invertIfNegative val="0"/>
          <c:cat>
            <c:numRef>
              <c:f>'Area VIIa nephrops o250kW'!$D$91:$M$91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o250kW'!$D$100:$M$100</c:f>
              <c:numCache>
                <c:formatCode>0%</c:formatCode>
                <c:ptCount val="10"/>
                <c:pt idx="3">
                  <c:v>7.5468996857039417E-3</c:v>
                </c:pt>
                <c:pt idx="4">
                  <c:v>6.775669790932505E-3</c:v>
                </c:pt>
                <c:pt idx="5">
                  <c:v>3.9677060858814752E-3</c:v>
                </c:pt>
              </c:numCache>
            </c:numRef>
          </c:val>
          <c:extLst>
            <c:ext xmlns:c16="http://schemas.microsoft.com/office/drawing/2014/chart" uri="{C3380CC4-5D6E-409C-BE32-E72D297353CC}">
              <c16:uniqueId val="{00000008-2F31-4474-809F-FC549EF715B6}"/>
            </c:ext>
          </c:extLst>
        </c:ser>
        <c:ser>
          <c:idx val="9"/>
          <c:order val="9"/>
          <c:tx>
            <c:strRef>
              <c:f>'Area VIIa nephrops o250kW'!$C$101</c:f>
              <c:strCache>
                <c:ptCount val="1"/>
                <c:pt idx="0">
                  <c:v>Turbot</c:v>
                </c:pt>
              </c:strCache>
            </c:strRef>
          </c:tx>
          <c:spPr>
            <a:solidFill>
              <a:srgbClr val="169FDB"/>
            </a:solidFill>
            <a:ln>
              <a:solidFill>
                <a:srgbClr val="FFFFFF"/>
              </a:solidFill>
            </a:ln>
          </c:spPr>
          <c:invertIfNegative val="0"/>
          <c:cat>
            <c:numRef>
              <c:f>'Area VIIa nephrops o250kW'!$D$91:$M$91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o250kW'!$D$101:$M$101</c:f>
              <c:numCache>
                <c:formatCode>0%</c:formatCode>
                <c:ptCount val="10"/>
                <c:pt idx="5">
                  <c:v>3.9395607001544222E-3</c:v>
                </c:pt>
              </c:numCache>
            </c:numRef>
          </c:val>
          <c:extLst>
            <c:ext xmlns:c16="http://schemas.microsoft.com/office/drawing/2014/chart" uri="{C3380CC4-5D6E-409C-BE32-E72D297353CC}">
              <c16:uniqueId val="{00000009-2F31-4474-809F-FC549EF715B6}"/>
            </c:ext>
          </c:extLst>
        </c:ser>
        <c:ser>
          <c:idx val="10"/>
          <c:order val="10"/>
          <c:tx>
            <c:strRef>
              <c:f>'Area VIIa nephrops o250kW'!$C$102</c:f>
              <c:strCache>
                <c:ptCount val="1"/>
                <c:pt idx="0">
                  <c:v>Hake</c:v>
                </c:pt>
              </c:strCache>
            </c:strRef>
          </c:tx>
          <c:spPr>
            <a:solidFill>
              <a:srgbClr val="E40D2C"/>
            </a:solidFill>
            <a:ln>
              <a:solidFill>
                <a:srgbClr val="FFFFFF"/>
              </a:solidFill>
            </a:ln>
          </c:spPr>
          <c:invertIfNegative val="0"/>
          <c:cat>
            <c:numRef>
              <c:f>'Area VIIa nephrops o250kW'!$D$91:$M$91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o250kW'!$D$102:$M$102</c:f>
              <c:numCache>
                <c:formatCode>0%</c:formatCode>
                <c:ptCount val="10"/>
                <c:pt idx="4">
                  <c:v>1.3695671589830297E-2</c:v>
                </c:pt>
              </c:numCache>
            </c:numRef>
          </c:val>
          <c:extLst>
            <c:ext xmlns:c16="http://schemas.microsoft.com/office/drawing/2014/chart" uri="{C3380CC4-5D6E-409C-BE32-E72D297353CC}">
              <c16:uniqueId val="{0000000A-2F31-4474-809F-FC549EF715B6}"/>
            </c:ext>
          </c:extLst>
        </c:ser>
        <c:ser>
          <c:idx val="11"/>
          <c:order val="11"/>
          <c:tx>
            <c:strRef>
              <c:f>'Area VIIa nephrops o250kW'!$C$103</c:f>
              <c:strCache>
                <c:ptCount val="1"/>
                <c:pt idx="0">
                  <c:v>Queen Scallops</c:v>
                </c:pt>
              </c:strCache>
            </c:strRef>
          </c:tx>
          <c:spPr>
            <a:solidFill>
              <a:srgbClr val="B4C3E5"/>
            </a:solidFill>
            <a:ln>
              <a:solidFill>
                <a:srgbClr val="FFFFFF"/>
              </a:solidFill>
            </a:ln>
          </c:spPr>
          <c:invertIfNegative val="0"/>
          <c:cat>
            <c:numRef>
              <c:f>'Area VIIa nephrops o250kW'!$D$91:$M$91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o250kW'!$D$103:$M$103</c:f>
              <c:numCache>
                <c:formatCode>0%</c:formatCode>
                <c:ptCount val="10"/>
                <c:pt idx="0">
                  <c:v>2.5898591311463277E-2</c:v>
                </c:pt>
                <c:pt idx="1">
                  <c:v>1.1484122854679151E-2</c:v>
                </c:pt>
                <c:pt idx="2">
                  <c:v>1.2099713190350038E-2</c:v>
                </c:pt>
              </c:numCache>
            </c:numRef>
          </c:val>
          <c:extLst>
            <c:ext xmlns:c16="http://schemas.microsoft.com/office/drawing/2014/chart" uri="{C3380CC4-5D6E-409C-BE32-E72D297353CC}">
              <c16:uniqueId val="{0000000B-2F31-4474-809F-FC549EF715B6}"/>
            </c:ext>
          </c:extLst>
        </c:ser>
        <c:ser>
          <c:idx val="12"/>
          <c:order val="12"/>
          <c:tx>
            <c:strRef>
              <c:f>'Area VIIa nephrops o250kW'!$C$104</c:f>
              <c:strCache>
                <c:ptCount val="1"/>
                <c:pt idx="0">
                  <c:v>Others</c:v>
                </c:pt>
              </c:strCache>
            </c:strRef>
          </c:tx>
          <c:spPr>
            <a:solidFill>
              <a:srgbClr val="55585A"/>
            </a:solidFill>
            <a:ln>
              <a:solidFill>
                <a:srgbClr val="FFFFFF"/>
              </a:solidFill>
            </a:ln>
          </c:spPr>
          <c:invertIfNegative val="0"/>
          <c:cat>
            <c:numRef>
              <c:f>'Area VIIa nephrops o250kW'!$D$91:$M$91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o250kW'!$D$104:$M$104</c:f>
              <c:numCache>
                <c:formatCode>0%</c:formatCode>
                <c:ptCount val="10"/>
                <c:pt idx="0">
                  <c:v>5.6748342132189475E-2</c:v>
                </c:pt>
                <c:pt idx="1">
                  <c:v>3.7952347770190027E-2</c:v>
                </c:pt>
                <c:pt idx="2">
                  <c:v>6.2358374590583139E-2</c:v>
                </c:pt>
                <c:pt idx="3">
                  <c:v>3.9992194668670641E-2</c:v>
                </c:pt>
                <c:pt idx="4">
                  <c:v>3.2011647243921131E-2</c:v>
                </c:pt>
                <c:pt idx="5">
                  <c:v>2.6281830767625858E-2</c:v>
                </c:pt>
                <c:pt idx="6">
                  <c:v>2.8948020987205329E-2</c:v>
                </c:pt>
                <c:pt idx="7">
                  <c:v>5.1702127843987131E-2</c:v>
                </c:pt>
                <c:pt idx="8">
                  <c:v>2.7907613589149546E-2</c:v>
                </c:pt>
                <c:pt idx="9">
                  <c:v>2.2841796925286571E-2</c:v>
                </c:pt>
              </c:numCache>
            </c:numRef>
          </c:val>
          <c:extLst>
            <c:ext xmlns:c16="http://schemas.microsoft.com/office/drawing/2014/chart" uri="{C3380CC4-5D6E-409C-BE32-E72D297353CC}">
              <c16:uniqueId val="{0000000C-2F31-4474-809F-FC549EF715B6}"/>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o300kW'!$K$62</c:f>
          <c:strCache>
            <c:ptCount val="1"/>
            <c:pt idx="0">
              <c:v>Average annual operating profit per vessel (£'000)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F592-4E7C-AE4E-155E81F36D19}"/>
              </c:ext>
            </c:extLst>
          </c:dPt>
          <c:dPt>
            <c:idx val="10"/>
            <c:bubble3D val="0"/>
            <c:spPr>
              <a:ln w="57150">
                <a:solidFill>
                  <a:schemeClr val="accent5"/>
                </a:solidFill>
                <a:prstDash val="sysDot"/>
              </a:ln>
            </c:spPr>
            <c:extLst>
              <c:ext xmlns:c16="http://schemas.microsoft.com/office/drawing/2014/chart" uri="{C3380CC4-5D6E-409C-BE32-E72D297353CC}">
                <c16:uniqueId val="{00000003-F592-4E7C-AE4E-155E81F36D19}"/>
              </c:ext>
            </c:extLst>
          </c:dPt>
          <c:cat>
            <c:numRef>
              <c:f>'NSWOS demersal u24m o300kW'!$D$2:$M$2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'NSWOS demersal u24m o300kW'!$D$37:$N$37</c:f>
              <c:numCache>
                <c:formatCode>#,##0.0</c:formatCode>
                <c:ptCount val="11"/>
                <c:pt idx="0">
                  <c:v>115.2</c:v>
                </c:pt>
                <c:pt idx="1">
                  <c:v>120.8</c:v>
                </c:pt>
                <c:pt idx="2">
                  <c:v>75.099999999999994</c:v>
                </c:pt>
                <c:pt idx="3">
                  <c:v>142.4</c:v>
                </c:pt>
                <c:pt idx="4">
                  <c:v>151.80000000000001</c:v>
                </c:pt>
                <c:pt idx="5">
                  <c:v>100.9</c:v>
                </c:pt>
                <c:pt idx="6">
                  <c:v>202.9</c:v>
                </c:pt>
                <c:pt idx="7">
                  <c:v>386.1</c:v>
                </c:pt>
                <c:pt idx="8">
                  <c:v>182.3</c:v>
                </c:pt>
                <c:pt idx="9">
                  <c:v>328.2</c:v>
                </c:pt>
                <c:pt idx="10">
                  <c:v>121.3</c:v>
                </c:pt>
              </c:numCache>
            </c:numRef>
          </c:val>
          <c:smooth val="0"/>
          <c:extLst>
            <c:ext xmlns:c16="http://schemas.microsoft.com/office/drawing/2014/chart" uri="{C3380CC4-5D6E-409C-BE32-E72D297353CC}">
              <c16:uniqueId val="{00000004-F592-4E7C-AE4E-155E81F36D19}"/>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o300kW'!$A$76</c:f>
          <c:strCache>
            <c:ptCount val="1"/>
            <c:pt idx="0">
              <c:v>Top 5 landed species by volume in 2019
NSWOS demersal under 24m over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E87308"/>
              </a:solidFill>
              <a:ln>
                <a:solidFill>
                  <a:srgbClr val="FFFFFF"/>
                </a:solidFill>
              </a:ln>
            </c:spPr>
            <c:extLst>
              <c:ext xmlns:c16="http://schemas.microsoft.com/office/drawing/2014/chart" uri="{C3380CC4-5D6E-409C-BE32-E72D297353CC}">
                <c16:uniqueId val="{00000001-2437-4E1D-94B5-13E3890CA600}"/>
              </c:ext>
            </c:extLst>
          </c:dPt>
          <c:dPt>
            <c:idx val="1"/>
            <c:bubble3D val="0"/>
            <c:spPr>
              <a:solidFill>
                <a:srgbClr val="2273B9"/>
              </a:solidFill>
              <a:ln>
                <a:solidFill>
                  <a:srgbClr val="FFFFFF"/>
                </a:solidFill>
              </a:ln>
            </c:spPr>
            <c:extLst>
              <c:ext xmlns:c16="http://schemas.microsoft.com/office/drawing/2014/chart" uri="{C3380CC4-5D6E-409C-BE32-E72D297353CC}">
                <c16:uniqueId val="{00000003-2437-4E1D-94B5-13E3890CA600}"/>
              </c:ext>
            </c:extLst>
          </c:dPt>
          <c:dPt>
            <c:idx val="2"/>
            <c:bubble3D val="0"/>
            <c:spPr>
              <a:solidFill>
                <a:srgbClr val="648C2E"/>
              </a:solidFill>
              <a:ln>
                <a:solidFill>
                  <a:srgbClr val="FFFFFF"/>
                </a:solidFill>
              </a:ln>
            </c:spPr>
            <c:extLst>
              <c:ext xmlns:c16="http://schemas.microsoft.com/office/drawing/2014/chart" uri="{C3380CC4-5D6E-409C-BE32-E72D297353CC}">
                <c16:uniqueId val="{00000005-2437-4E1D-94B5-13E3890CA600}"/>
              </c:ext>
            </c:extLst>
          </c:dPt>
          <c:dPt>
            <c:idx val="3"/>
            <c:bubble3D val="0"/>
            <c:spPr>
              <a:solidFill>
                <a:srgbClr val="0F9AA9"/>
              </a:solidFill>
              <a:ln>
                <a:solidFill>
                  <a:srgbClr val="FFFFFF"/>
                </a:solidFill>
              </a:ln>
            </c:spPr>
            <c:extLst>
              <c:ext xmlns:c16="http://schemas.microsoft.com/office/drawing/2014/chart" uri="{C3380CC4-5D6E-409C-BE32-E72D297353CC}">
                <c16:uniqueId val="{00000007-2437-4E1D-94B5-13E3890CA600}"/>
              </c:ext>
            </c:extLst>
          </c:dPt>
          <c:dPt>
            <c:idx val="4"/>
            <c:bubble3D val="0"/>
            <c:spPr>
              <a:solidFill>
                <a:srgbClr val="FED825"/>
              </a:solidFill>
              <a:ln>
                <a:solidFill>
                  <a:srgbClr val="FFFFFF"/>
                </a:solidFill>
              </a:ln>
            </c:spPr>
            <c:extLst>
              <c:ext xmlns:c16="http://schemas.microsoft.com/office/drawing/2014/chart" uri="{C3380CC4-5D6E-409C-BE32-E72D297353CC}">
                <c16:uniqueId val="{00000009-2437-4E1D-94B5-13E3890CA600}"/>
              </c:ext>
            </c:extLst>
          </c:dPt>
          <c:dPt>
            <c:idx val="5"/>
            <c:bubble3D val="0"/>
            <c:spPr>
              <a:solidFill>
                <a:srgbClr val="55585A"/>
              </a:solidFill>
              <a:ln>
                <a:solidFill>
                  <a:srgbClr val="FFFFFF"/>
                </a:solidFill>
              </a:ln>
            </c:spPr>
            <c:extLst>
              <c:ext xmlns:c16="http://schemas.microsoft.com/office/drawing/2014/chart" uri="{C3380CC4-5D6E-409C-BE32-E72D297353CC}">
                <c16:uniqueId val="{0000000B-2437-4E1D-94B5-13E3890CA600}"/>
              </c:ext>
            </c:extLst>
          </c:dPt>
          <c:cat>
            <c:strRef>
              <c:f>'NSWOS demersal u24m o300kW'!$B$77:$B$82</c:f>
              <c:strCache>
                <c:ptCount val="6"/>
                <c:pt idx="0">
                  <c:v>Cod - 19.0%</c:v>
                </c:pt>
                <c:pt idx="1">
                  <c:v>Anglerfish - 18.5%</c:v>
                </c:pt>
                <c:pt idx="2">
                  <c:v>Haddock - 14.1%</c:v>
                </c:pt>
                <c:pt idx="3">
                  <c:v>Saithe - 7.9%</c:v>
                </c:pt>
                <c:pt idx="4">
                  <c:v>Whiting - 7.7%</c:v>
                </c:pt>
                <c:pt idx="5">
                  <c:v>Others - 32.9%</c:v>
                </c:pt>
              </c:strCache>
            </c:strRef>
          </c:cat>
          <c:val>
            <c:numRef>
              <c:f>'NSWOS demersal u24m o300kW'!$C$77:$C$82</c:f>
              <c:numCache>
                <c:formatCode>0.0%</c:formatCode>
                <c:ptCount val="6"/>
                <c:pt idx="0">
                  <c:v>0.19006767065522753</c:v>
                </c:pt>
                <c:pt idx="1">
                  <c:v>0.18472265828055023</c:v>
                </c:pt>
                <c:pt idx="2">
                  <c:v>0.14077042951798255</c:v>
                </c:pt>
                <c:pt idx="3">
                  <c:v>7.8690180096552167E-2</c:v>
                </c:pt>
                <c:pt idx="4">
                  <c:v>7.7062880760610381E-2</c:v>
                </c:pt>
                <c:pt idx="5">
                  <c:v>0.32868618068907707</c:v>
                </c:pt>
              </c:numCache>
            </c:numRef>
          </c:val>
          <c:extLst>
            <c:ext xmlns:c16="http://schemas.microsoft.com/office/drawing/2014/chart" uri="{C3380CC4-5D6E-409C-BE32-E72D297353CC}">
              <c16:uniqueId val="{0000000C-2437-4E1D-94B5-13E3890CA600}"/>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o300kW'!$F$76</c:f>
          <c:strCache>
            <c:ptCount val="1"/>
            <c:pt idx="0">
              <c:v>Top 5 landed species by value in 2019
NSWOS demersal under 24m over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58B4-411B-983E-1D48D62091F2}"/>
              </c:ext>
            </c:extLst>
          </c:dPt>
          <c:dPt>
            <c:idx val="1"/>
            <c:bubble3D val="0"/>
            <c:spPr>
              <a:solidFill>
                <a:srgbClr val="E87308"/>
              </a:solidFill>
              <a:ln>
                <a:solidFill>
                  <a:srgbClr val="FFFFFF"/>
                </a:solidFill>
              </a:ln>
            </c:spPr>
            <c:extLst>
              <c:ext xmlns:c16="http://schemas.microsoft.com/office/drawing/2014/chart" uri="{C3380CC4-5D6E-409C-BE32-E72D297353CC}">
                <c16:uniqueId val="{00000003-58B4-411B-983E-1D48D62091F2}"/>
              </c:ext>
            </c:extLst>
          </c:dPt>
          <c:dPt>
            <c:idx val="2"/>
            <c:bubble3D val="0"/>
            <c:spPr>
              <a:solidFill>
                <a:srgbClr val="648C2E"/>
              </a:solidFill>
              <a:ln>
                <a:solidFill>
                  <a:srgbClr val="FFFFFF"/>
                </a:solidFill>
              </a:ln>
            </c:spPr>
            <c:extLst>
              <c:ext xmlns:c16="http://schemas.microsoft.com/office/drawing/2014/chart" uri="{C3380CC4-5D6E-409C-BE32-E72D297353CC}">
                <c16:uniqueId val="{00000005-58B4-411B-983E-1D48D62091F2}"/>
              </c:ext>
            </c:extLst>
          </c:dPt>
          <c:dPt>
            <c:idx val="3"/>
            <c:bubble3D val="0"/>
            <c:spPr>
              <a:solidFill>
                <a:srgbClr val="C1D119"/>
              </a:solidFill>
              <a:ln>
                <a:solidFill>
                  <a:srgbClr val="FFFFFF"/>
                </a:solidFill>
              </a:ln>
            </c:spPr>
            <c:extLst>
              <c:ext xmlns:c16="http://schemas.microsoft.com/office/drawing/2014/chart" uri="{C3380CC4-5D6E-409C-BE32-E72D297353CC}">
                <c16:uniqueId val="{00000007-58B4-411B-983E-1D48D62091F2}"/>
              </c:ext>
            </c:extLst>
          </c:dPt>
          <c:dPt>
            <c:idx val="4"/>
            <c:bubble3D val="0"/>
            <c:spPr>
              <a:solidFill>
                <a:srgbClr val="E84A38"/>
              </a:solidFill>
              <a:ln>
                <a:solidFill>
                  <a:srgbClr val="FFFFFF"/>
                </a:solidFill>
              </a:ln>
            </c:spPr>
            <c:extLst>
              <c:ext xmlns:c16="http://schemas.microsoft.com/office/drawing/2014/chart" uri="{C3380CC4-5D6E-409C-BE32-E72D297353CC}">
                <c16:uniqueId val="{00000009-58B4-411B-983E-1D48D62091F2}"/>
              </c:ext>
            </c:extLst>
          </c:dPt>
          <c:dPt>
            <c:idx val="5"/>
            <c:bubble3D val="0"/>
            <c:spPr>
              <a:solidFill>
                <a:srgbClr val="55585A"/>
              </a:solidFill>
              <a:ln>
                <a:solidFill>
                  <a:srgbClr val="FFFFFF"/>
                </a:solidFill>
              </a:ln>
            </c:spPr>
            <c:extLst>
              <c:ext xmlns:c16="http://schemas.microsoft.com/office/drawing/2014/chart" uri="{C3380CC4-5D6E-409C-BE32-E72D297353CC}">
                <c16:uniqueId val="{0000000B-58B4-411B-983E-1D48D62091F2}"/>
              </c:ext>
            </c:extLst>
          </c:dPt>
          <c:cat>
            <c:strRef>
              <c:f>'NSWOS demersal u24m o300kW'!$G$77:$G$82</c:f>
              <c:strCache>
                <c:ptCount val="6"/>
                <c:pt idx="0">
                  <c:v>Anglerfish - 25.4%</c:v>
                </c:pt>
                <c:pt idx="1">
                  <c:v>Cod - 21.8%</c:v>
                </c:pt>
                <c:pt idx="2">
                  <c:v>Haddock - 9.2%</c:v>
                </c:pt>
                <c:pt idx="3">
                  <c:v>Megrim - 8.9%</c:v>
                </c:pt>
                <c:pt idx="4">
                  <c:v>Nephrops - 8.1%</c:v>
                </c:pt>
                <c:pt idx="5">
                  <c:v>Others - 26.5%</c:v>
                </c:pt>
              </c:strCache>
            </c:strRef>
          </c:cat>
          <c:val>
            <c:numRef>
              <c:f>'NSWOS demersal u24m o300kW'!$H$77:$H$82</c:f>
              <c:numCache>
                <c:formatCode>0.0%</c:formatCode>
                <c:ptCount val="6"/>
                <c:pt idx="0">
                  <c:v>0.25443672236853537</c:v>
                </c:pt>
                <c:pt idx="1">
                  <c:v>0.21812335255180448</c:v>
                </c:pt>
                <c:pt idx="2">
                  <c:v>9.2067504870369382E-2</c:v>
                </c:pt>
                <c:pt idx="3">
                  <c:v>8.8796431557941258E-2</c:v>
                </c:pt>
                <c:pt idx="4">
                  <c:v>8.1293009814167733E-2</c:v>
                </c:pt>
                <c:pt idx="5">
                  <c:v>0.26528297883718177</c:v>
                </c:pt>
              </c:numCache>
            </c:numRef>
          </c:val>
          <c:extLst>
            <c:ext xmlns:c16="http://schemas.microsoft.com/office/drawing/2014/chart" uri="{C3380CC4-5D6E-409C-BE32-E72D297353CC}">
              <c16:uniqueId val="{0000000C-58B4-411B-983E-1D48D62091F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o300kW'!$K$77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demersal u24m o300kW'!$C$92</c:f>
              <c:strCache>
                <c:ptCount val="1"/>
                <c:pt idx="0">
                  <c:v>Anglerfish</c:v>
                </c:pt>
              </c:strCache>
            </c:strRef>
          </c:tx>
          <c:spPr>
            <a:solidFill>
              <a:srgbClr val="2273B9"/>
            </a:solidFill>
            <a:ln>
              <a:solidFill>
                <a:srgbClr val="FFFFFF"/>
              </a:solidFill>
            </a:ln>
          </c:spPr>
          <c:invertIfNegative val="0"/>
          <c:cat>
            <c:numRef>
              <c:f>'NSWOS demersal u24m o300kW'!$D$91:$M$91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u24m o300kW'!$D$92:$M$92</c:f>
              <c:numCache>
                <c:formatCode>0%</c:formatCode>
                <c:ptCount val="10"/>
                <c:pt idx="0">
                  <c:v>0.2639582012777697</c:v>
                </c:pt>
                <c:pt idx="1">
                  <c:v>0.22342946283437493</c:v>
                </c:pt>
                <c:pt idx="2">
                  <c:v>0.20586088664087801</c:v>
                </c:pt>
                <c:pt idx="3">
                  <c:v>0.20885299978592098</c:v>
                </c:pt>
                <c:pt idx="4">
                  <c:v>0.25508867845839367</c:v>
                </c:pt>
                <c:pt idx="5">
                  <c:v>0.29532353105989179</c:v>
                </c:pt>
                <c:pt idx="6">
                  <c:v>0.28356364999439376</c:v>
                </c:pt>
                <c:pt idx="7">
                  <c:v>0.27400465491906034</c:v>
                </c:pt>
                <c:pt idx="8">
                  <c:v>0.25443672236853537</c:v>
                </c:pt>
                <c:pt idx="9">
                  <c:v>0.2852980501599956</c:v>
                </c:pt>
              </c:numCache>
            </c:numRef>
          </c:val>
          <c:extLst>
            <c:ext xmlns:c16="http://schemas.microsoft.com/office/drawing/2014/chart" uri="{C3380CC4-5D6E-409C-BE32-E72D297353CC}">
              <c16:uniqueId val="{00000000-A809-4879-86E7-730E54372145}"/>
            </c:ext>
          </c:extLst>
        </c:ser>
        <c:ser>
          <c:idx val="1"/>
          <c:order val="1"/>
          <c:tx>
            <c:strRef>
              <c:f>'NSWOS demersal u24m o300kW'!$C$93</c:f>
              <c:strCache>
                <c:ptCount val="1"/>
                <c:pt idx="0">
                  <c:v>Cod</c:v>
                </c:pt>
              </c:strCache>
            </c:strRef>
          </c:tx>
          <c:spPr>
            <a:solidFill>
              <a:srgbClr val="E87308"/>
            </a:solidFill>
            <a:ln>
              <a:solidFill>
                <a:srgbClr val="FFFFFF"/>
              </a:solidFill>
            </a:ln>
          </c:spPr>
          <c:invertIfNegative val="0"/>
          <c:cat>
            <c:numRef>
              <c:f>'NSWOS demersal u24m o300kW'!$D$91:$M$91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u24m o300kW'!$D$93:$M$93</c:f>
              <c:numCache>
                <c:formatCode>0%</c:formatCode>
                <c:ptCount val="10"/>
                <c:pt idx="0">
                  <c:v>0.14181879691746274</c:v>
                </c:pt>
                <c:pt idx="1">
                  <c:v>0.14886688922781699</c:v>
                </c:pt>
                <c:pt idx="2">
                  <c:v>0.1392130912196477</c:v>
                </c:pt>
                <c:pt idx="3">
                  <c:v>0.15020085804199765</c:v>
                </c:pt>
                <c:pt idx="4">
                  <c:v>0.14744146143074563</c:v>
                </c:pt>
                <c:pt idx="5">
                  <c:v>0.15335816214068138</c:v>
                </c:pt>
                <c:pt idx="6">
                  <c:v>0.16635584973178852</c:v>
                </c:pt>
                <c:pt idx="7">
                  <c:v>0.16794401591349684</c:v>
                </c:pt>
                <c:pt idx="8">
                  <c:v>0.21812335255180448</c:v>
                </c:pt>
                <c:pt idx="9">
                  <c:v>0.1407020790823976</c:v>
                </c:pt>
              </c:numCache>
            </c:numRef>
          </c:val>
          <c:extLst>
            <c:ext xmlns:c16="http://schemas.microsoft.com/office/drawing/2014/chart" uri="{C3380CC4-5D6E-409C-BE32-E72D297353CC}">
              <c16:uniqueId val="{00000001-A809-4879-86E7-730E54372145}"/>
            </c:ext>
          </c:extLst>
        </c:ser>
        <c:ser>
          <c:idx val="2"/>
          <c:order val="2"/>
          <c:tx>
            <c:strRef>
              <c:f>'NSWOS demersal u24m o300kW'!$C$94</c:f>
              <c:strCache>
                <c:ptCount val="1"/>
                <c:pt idx="0">
                  <c:v>Haddock</c:v>
                </c:pt>
              </c:strCache>
            </c:strRef>
          </c:tx>
          <c:spPr>
            <a:solidFill>
              <a:srgbClr val="648C2E"/>
            </a:solidFill>
            <a:ln>
              <a:solidFill>
                <a:srgbClr val="FFFFFF"/>
              </a:solidFill>
            </a:ln>
          </c:spPr>
          <c:invertIfNegative val="0"/>
          <c:cat>
            <c:numRef>
              <c:f>'NSWOS demersal u24m o300kW'!$D$91:$M$91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u24m o300kW'!$D$94:$M$94</c:f>
              <c:numCache>
                <c:formatCode>0%</c:formatCode>
                <c:ptCount val="10"/>
                <c:pt idx="0">
                  <c:v>9.2834805561114925E-2</c:v>
                </c:pt>
                <c:pt idx="1">
                  <c:v>0.12716385888484361</c:v>
                </c:pt>
                <c:pt idx="2">
                  <c:v>0.19118049834957648</c:v>
                </c:pt>
                <c:pt idx="3">
                  <c:v>0.19227705427281416</c:v>
                </c:pt>
                <c:pt idx="4">
                  <c:v>0.146299239451432</c:v>
                </c:pt>
                <c:pt idx="5">
                  <c:v>0.11687707363737342</c:v>
                </c:pt>
                <c:pt idx="6">
                  <c:v>0.10600729447270055</c:v>
                </c:pt>
                <c:pt idx="7">
                  <c:v>0.10308447918965936</c:v>
                </c:pt>
                <c:pt idx="8">
                  <c:v>9.2067504870369382E-2</c:v>
                </c:pt>
                <c:pt idx="9">
                  <c:v>0.10063193225048664</c:v>
                </c:pt>
              </c:numCache>
            </c:numRef>
          </c:val>
          <c:extLst>
            <c:ext xmlns:c16="http://schemas.microsoft.com/office/drawing/2014/chart" uri="{C3380CC4-5D6E-409C-BE32-E72D297353CC}">
              <c16:uniqueId val="{00000002-A809-4879-86E7-730E54372145}"/>
            </c:ext>
          </c:extLst>
        </c:ser>
        <c:ser>
          <c:idx val="3"/>
          <c:order val="3"/>
          <c:tx>
            <c:strRef>
              <c:f>'NSWOS demersal u24m o300kW'!$C$95</c:f>
              <c:strCache>
                <c:ptCount val="1"/>
                <c:pt idx="0">
                  <c:v>Megrim</c:v>
                </c:pt>
              </c:strCache>
            </c:strRef>
          </c:tx>
          <c:spPr>
            <a:solidFill>
              <a:srgbClr val="C1D119"/>
            </a:solidFill>
            <a:ln>
              <a:solidFill>
                <a:srgbClr val="FFFFFF"/>
              </a:solidFill>
            </a:ln>
          </c:spPr>
          <c:invertIfNegative val="0"/>
          <c:cat>
            <c:numRef>
              <c:f>'NSWOS demersal u24m o300kW'!$D$91:$M$91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u24m o300kW'!$D$95:$M$95</c:f>
              <c:numCache>
                <c:formatCode>0%</c:formatCode>
                <c:ptCount val="10"/>
                <c:pt idx="0">
                  <c:v>0.11532233227307828</c:v>
                </c:pt>
                <c:pt idx="1">
                  <c:v>0.11949410818006052</c:v>
                </c:pt>
                <c:pt idx="2">
                  <c:v>9.2661210214459305E-2</c:v>
                </c:pt>
                <c:pt idx="3">
                  <c:v>7.7703531947885845E-2</c:v>
                </c:pt>
                <c:pt idx="4">
                  <c:v>5.6568036055150386E-2</c:v>
                </c:pt>
                <c:pt idx="6">
                  <c:v>6.0540763078732449E-2</c:v>
                </c:pt>
                <c:pt idx="7">
                  <c:v>6.3180935807107375E-2</c:v>
                </c:pt>
                <c:pt idx="8">
                  <c:v>8.8796431557941258E-2</c:v>
                </c:pt>
                <c:pt idx="9">
                  <c:v>0.13321665488143405</c:v>
                </c:pt>
              </c:numCache>
            </c:numRef>
          </c:val>
          <c:extLst>
            <c:ext xmlns:c16="http://schemas.microsoft.com/office/drawing/2014/chart" uri="{C3380CC4-5D6E-409C-BE32-E72D297353CC}">
              <c16:uniqueId val="{00000003-A809-4879-86E7-730E54372145}"/>
            </c:ext>
          </c:extLst>
        </c:ser>
        <c:ser>
          <c:idx val="4"/>
          <c:order val="4"/>
          <c:tx>
            <c:strRef>
              <c:f>'NSWOS demersal u24m o300kW'!$C$96</c:f>
              <c:strCache>
                <c:ptCount val="1"/>
                <c:pt idx="0">
                  <c:v>Nephrops</c:v>
                </c:pt>
              </c:strCache>
            </c:strRef>
          </c:tx>
          <c:spPr>
            <a:solidFill>
              <a:srgbClr val="E84A38"/>
            </a:solidFill>
            <a:ln>
              <a:solidFill>
                <a:srgbClr val="FFFFFF"/>
              </a:solidFill>
            </a:ln>
          </c:spPr>
          <c:invertIfNegative val="0"/>
          <c:cat>
            <c:numRef>
              <c:f>'NSWOS demersal u24m o300kW'!$D$91:$M$91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u24m o300kW'!$D$96:$M$96</c:f>
              <c:numCache>
                <c:formatCode>0%</c:formatCode>
                <c:ptCount val="10"/>
                <c:pt idx="0">
                  <c:v>7.8933042670299464E-2</c:v>
                </c:pt>
                <c:pt idx="1">
                  <c:v>0.12407887108021337</c:v>
                </c:pt>
                <c:pt idx="2">
                  <c:v>0.10786903147891962</c:v>
                </c:pt>
                <c:pt idx="3">
                  <c:v>0.12698797115171784</c:v>
                </c:pt>
                <c:pt idx="4">
                  <c:v>0.14539436123514304</c:v>
                </c:pt>
                <c:pt idx="5">
                  <c:v>0.10490004783077564</c:v>
                </c:pt>
                <c:pt idx="6">
                  <c:v>0.10955828760579243</c:v>
                </c:pt>
                <c:pt idx="7">
                  <c:v>0.15147339554078243</c:v>
                </c:pt>
                <c:pt idx="8">
                  <c:v>8.1293009814167733E-2</c:v>
                </c:pt>
                <c:pt idx="9">
                  <c:v>0.10293346672496521</c:v>
                </c:pt>
              </c:numCache>
            </c:numRef>
          </c:val>
          <c:extLst>
            <c:ext xmlns:c16="http://schemas.microsoft.com/office/drawing/2014/chart" uri="{C3380CC4-5D6E-409C-BE32-E72D297353CC}">
              <c16:uniqueId val="{00000004-A809-4879-86E7-730E54372145}"/>
            </c:ext>
          </c:extLst>
        </c:ser>
        <c:ser>
          <c:idx val="5"/>
          <c:order val="5"/>
          <c:tx>
            <c:strRef>
              <c:f>'NSWOS demersal u24m o300kW'!$C$97</c:f>
              <c:strCache>
                <c:ptCount val="1"/>
                <c:pt idx="0">
                  <c:v>Squid</c:v>
                </c:pt>
              </c:strCache>
            </c:strRef>
          </c:tx>
          <c:spPr>
            <a:solidFill>
              <a:srgbClr val="0F9AA9"/>
            </a:solidFill>
            <a:ln>
              <a:solidFill>
                <a:srgbClr val="FFFFFF"/>
              </a:solidFill>
            </a:ln>
          </c:spPr>
          <c:invertIfNegative val="0"/>
          <c:cat>
            <c:numRef>
              <c:f>'NSWOS demersal u24m o300kW'!$D$91:$M$91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u24m o300kW'!$D$97:$M$97</c:f>
              <c:numCache>
                <c:formatCode>0%</c:formatCode>
                <c:ptCount val="10"/>
                <c:pt idx="5">
                  <c:v>7.1527491717190847E-2</c:v>
                </c:pt>
              </c:numCache>
            </c:numRef>
          </c:val>
          <c:extLst>
            <c:ext xmlns:c16="http://schemas.microsoft.com/office/drawing/2014/chart" uri="{C3380CC4-5D6E-409C-BE32-E72D297353CC}">
              <c16:uniqueId val="{00000005-A809-4879-86E7-730E54372145}"/>
            </c:ext>
          </c:extLst>
        </c:ser>
        <c:ser>
          <c:idx val="6"/>
          <c:order val="6"/>
          <c:tx>
            <c:strRef>
              <c:f>'NSWOS demersal u24m o300kW'!$C$98</c:f>
              <c:strCache>
                <c:ptCount val="1"/>
                <c:pt idx="0">
                  <c:v>Others</c:v>
                </c:pt>
              </c:strCache>
            </c:strRef>
          </c:tx>
          <c:spPr>
            <a:solidFill>
              <a:srgbClr val="55585A"/>
            </a:solidFill>
            <a:ln>
              <a:solidFill>
                <a:srgbClr val="FFFFFF"/>
              </a:solidFill>
            </a:ln>
          </c:spPr>
          <c:invertIfNegative val="0"/>
          <c:cat>
            <c:numRef>
              <c:f>'NSWOS demersal u24m o300kW'!$D$91:$M$91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u24m o300kW'!$D$98:$M$98</c:f>
              <c:numCache>
                <c:formatCode>0%</c:formatCode>
                <c:ptCount val="10"/>
                <c:pt idx="0">
                  <c:v>0.30713282130027486</c:v>
                </c:pt>
                <c:pt idx="1">
                  <c:v>0.2569668097926906</c:v>
                </c:pt>
                <c:pt idx="2">
                  <c:v>0.2632152820965189</c:v>
                </c:pt>
                <c:pt idx="3">
                  <c:v>0.24397758479966353</c:v>
                </c:pt>
                <c:pt idx="4">
                  <c:v>0.24920822336913526</c:v>
                </c:pt>
                <c:pt idx="5">
                  <c:v>0.25801369361408694</c:v>
                </c:pt>
                <c:pt idx="6">
                  <c:v>0.27397415511659229</c:v>
                </c:pt>
                <c:pt idx="7">
                  <c:v>0.24031251862989367</c:v>
                </c:pt>
                <c:pt idx="8">
                  <c:v>0.26528297883718177</c:v>
                </c:pt>
                <c:pt idx="9">
                  <c:v>0.23721781690072091</c:v>
                </c:pt>
              </c:numCache>
            </c:numRef>
          </c:val>
          <c:extLst>
            <c:ext xmlns:c16="http://schemas.microsoft.com/office/drawing/2014/chart" uri="{C3380CC4-5D6E-409C-BE32-E72D297353CC}">
              <c16:uniqueId val="{00000006-A809-4879-86E7-730E54372145}"/>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'NSWOS demersal u24m o300kW'!$B$162</c:f>
              <c:strCache>
                <c:ptCount val="1"/>
                <c:pt idx="0">
                  <c:v>Cod</c:v>
                </c:pt>
              </c:strCache>
            </c:strRef>
          </c:tx>
          <c:spPr>
            <a:solidFill>
              <a:srgbClr val="E87308"/>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o300kW'!$C$162:$E$162</c:f>
              <c:numCache>
                <c:formatCode>0%</c:formatCode>
                <c:ptCount val="3"/>
                <c:pt idx="0">
                  <c:v>0.18938238137027205</c:v>
                </c:pt>
                <c:pt idx="1">
                  <c:v>0.23630519597361097</c:v>
                </c:pt>
                <c:pt idx="2">
                  <c:v>0.12883755739234834</c:v>
                </c:pt>
              </c:numCache>
            </c:numRef>
          </c:val>
          <c:extLst>
            <c:ext xmlns:c16="http://schemas.microsoft.com/office/drawing/2014/chart" uri="{C3380CC4-5D6E-409C-BE32-E72D297353CC}">
              <c16:uniqueId val="{00000000-4895-4927-82F5-6C556FA109BF}"/>
            </c:ext>
          </c:extLst>
        </c:ser>
        <c:ser>
          <c:idx val="1"/>
          <c:order val="1"/>
          <c:tx>
            <c:strRef>
              <c:f>'NSWOS demersal u24m o300kW'!$B$163</c:f>
              <c:strCache>
                <c:ptCount val="1"/>
                <c:pt idx="0">
                  <c:v>Anglerfish</c:v>
                </c:pt>
              </c:strCache>
            </c:strRef>
          </c:tx>
          <c:spPr>
            <a:solidFill>
              <a:srgbClr val="2273B9"/>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o300kW'!$C$163:$E$163</c:f>
              <c:numCache>
                <c:formatCode>0%</c:formatCode>
                <c:ptCount val="3"/>
                <c:pt idx="0">
                  <c:v>0.21469774560382973</c:v>
                </c:pt>
                <c:pt idx="1">
                  <c:v>0.21223878869263219</c:v>
                </c:pt>
                <c:pt idx="2">
                  <c:v>9.1976373097667041E-2</c:v>
                </c:pt>
              </c:numCache>
            </c:numRef>
          </c:val>
          <c:extLst>
            <c:ext xmlns:c16="http://schemas.microsoft.com/office/drawing/2014/chart" uri="{C3380CC4-5D6E-409C-BE32-E72D297353CC}">
              <c16:uniqueId val="{00000001-4895-4927-82F5-6C556FA109BF}"/>
            </c:ext>
          </c:extLst>
        </c:ser>
        <c:ser>
          <c:idx val="2"/>
          <c:order val="2"/>
          <c:tx>
            <c:strRef>
              <c:f>'NSWOS demersal u24m o300kW'!$B$164</c:f>
              <c:strCache>
                <c:ptCount val="1"/>
                <c:pt idx="0">
                  <c:v>Haddock</c:v>
                </c:pt>
              </c:strCache>
            </c:strRef>
          </c:tx>
          <c:spPr>
            <a:solidFill>
              <a:srgbClr val="648C2E"/>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o300kW'!$C$164:$E$164</c:f>
              <c:numCache>
                <c:formatCode>0%</c:formatCode>
                <c:ptCount val="3"/>
                <c:pt idx="0">
                  <c:v>0.13461859114222452</c:v>
                </c:pt>
                <c:pt idx="1">
                  <c:v>0.14390329919897502</c:v>
                </c:pt>
                <c:pt idx="2">
                  <c:v>0.18277290748001782</c:v>
                </c:pt>
              </c:numCache>
            </c:numRef>
          </c:val>
          <c:extLst>
            <c:ext xmlns:c16="http://schemas.microsoft.com/office/drawing/2014/chart" uri="{C3380CC4-5D6E-409C-BE32-E72D297353CC}">
              <c16:uniqueId val="{00000002-4895-4927-82F5-6C556FA109BF}"/>
            </c:ext>
          </c:extLst>
        </c:ser>
        <c:ser>
          <c:idx val="3"/>
          <c:order val="3"/>
          <c:tx>
            <c:strRef>
              <c:f>'NSWOS demersal u24m o300kW'!$B$165</c:f>
              <c:strCache>
                <c:ptCount val="1"/>
                <c:pt idx="0">
                  <c:v>Saithe</c:v>
                </c:pt>
              </c:strCache>
            </c:strRef>
          </c:tx>
          <c:spPr>
            <a:solidFill>
              <a:srgbClr val="0F9AA9"/>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o300kW'!$C$165:$E$165</c:f>
              <c:numCache>
                <c:formatCode>0%</c:formatCode>
                <c:ptCount val="3"/>
                <c:pt idx="0">
                  <c:v>7.0851069226423133E-2</c:v>
                </c:pt>
                <c:pt idx="1">
                  <c:v>9.8744710522845613E-2</c:v>
                </c:pt>
                <c:pt idx="2">
                  <c:v>0</c:v>
                </c:pt>
              </c:numCache>
            </c:numRef>
          </c:val>
          <c:extLst>
            <c:ext xmlns:c16="http://schemas.microsoft.com/office/drawing/2014/chart" uri="{C3380CC4-5D6E-409C-BE32-E72D297353CC}">
              <c16:uniqueId val="{00000003-4895-4927-82F5-6C556FA109BF}"/>
            </c:ext>
          </c:extLst>
        </c:ser>
        <c:ser>
          <c:idx val="4"/>
          <c:order val="4"/>
          <c:tx>
            <c:strRef>
              <c:f>'NSWOS demersal u24m o300kW'!$B$166</c:f>
              <c:strCache>
                <c:ptCount val="1"/>
                <c:pt idx="0">
                  <c:v>Whiting</c:v>
                </c:pt>
              </c:strCache>
            </c:strRef>
          </c:tx>
          <c:spPr>
            <a:solidFill>
              <a:srgbClr val="FED825"/>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o300kW'!$C$166:$E$166</c:f>
              <c:numCache>
                <c:formatCode>0%</c:formatCode>
                <c:ptCount val="3"/>
                <c:pt idx="0">
                  <c:v>0</c:v>
                </c:pt>
                <c:pt idx="1">
                  <c:v>9.0914858505547397E-2</c:v>
                </c:pt>
                <c:pt idx="2">
                  <c:v>0.13549487443090935</c:v>
                </c:pt>
              </c:numCache>
            </c:numRef>
          </c:val>
          <c:extLst>
            <c:ext xmlns:c16="http://schemas.microsoft.com/office/drawing/2014/chart" uri="{C3380CC4-5D6E-409C-BE32-E72D297353CC}">
              <c16:uniqueId val="{00000004-4895-4927-82F5-6C556FA109BF}"/>
            </c:ext>
          </c:extLst>
        </c:ser>
        <c:ser>
          <c:idx val="5"/>
          <c:order val="5"/>
          <c:tx>
            <c:strRef>
              <c:f>'NSWOS demersal u24m o300kW'!$B$167</c:f>
              <c:strCache>
                <c:ptCount val="1"/>
                <c:pt idx="0">
                  <c:v>Nephrops</c:v>
                </c:pt>
              </c:strCache>
            </c:strRef>
          </c:tx>
          <c:spPr>
            <a:solidFill>
              <a:srgbClr val="E84A38"/>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o300kW'!$C$167:$E$167</c:f>
              <c:numCache>
                <c:formatCode>0%</c:formatCode>
                <c:ptCount val="3"/>
                <c:pt idx="0">
                  <c:v>0</c:v>
                </c:pt>
                <c:pt idx="1">
                  <c:v>0</c:v>
                </c:pt>
                <c:pt idx="2">
                  <c:v>0.25595069656408881</c:v>
                </c:pt>
              </c:numCache>
            </c:numRef>
          </c:val>
          <c:extLst>
            <c:ext xmlns:c16="http://schemas.microsoft.com/office/drawing/2014/chart" uri="{C3380CC4-5D6E-409C-BE32-E72D297353CC}">
              <c16:uniqueId val="{00000005-4895-4927-82F5-6C556FA109BF}"/>
            </c:ext>
          </c:extLst>
        </c:ser>
        <c:ser>
          <c:idx val="6"/>
          <c:order val="6"/>
          <c:tx>
            <c:strRef>
              <c:f>'NSWOS demersal u24m o300kW'!$B$168</c:f>
              <c:strCache>
                <c:ptCount val="1"/>
                <c:pt idx="0">
                  <c:v>Megrim</c:v>
                </c:pt>
              </c:strCache>
            </c:strRef>
          </c:tx>
          <c:spPr>
            <a:solidFill>
              <a:srgbClr val="C1D119"/>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o300kW'!$C$168:$E$168</c:f>
              <c:numCache>
                <c:formatCode>0%</c:formatCode>
                <c:ptCount val="3"/>
                <c:pt idx="0">
                  <c:v>0.11523229112114622</c:v>
                </c:pt>
                <c:pt idx="1">
                  <c:v>0</c:v>
                </c:pt>
                <c:pt idx="2">
                  <c:v>0</c:v>
                </c:pt>
              </c:numCache>
            </c:numRef>
          </c:val>
          <c:extLst>
            <c:ext xmlns:c16="http://schemas.microsoft.com/office/drawing/2014/chart" uri="{C3380CC4-5D6E-409C-BE32-E72D297353CC}">
              <c16:uniqueId val="{00000006-4895-4927-82F5-6C556FA109BF}"/>
            </c:ext>
          </c:extLst>
        </c:ser>
        <c:ser>
          <c:idx val="7"/>
          <c:order val="7"/>
          <c:tx>
            <c:strRef>
              <c:f>'NSWOS demersal u24m o300kW'!$B$169</c:f>
              <c:strCache>
                <c:ptCount val="1"/>
                <c:pt idx="0">
                  <c:v>Others</c:v>
                </c:pt>
              </c:strCache>
            </c:strRef>
          </c:tx>
          <c:spPr>
            <a:solidFill>
              <a:srgbClr val="55585A"/>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o300kW'!$C$169:$E$169</c:f>
              <c:numCache>
                <c:formatCode>0%</c:formatCode>
                <c:ptCount val="3"/>
                <c:pt idx="0">
                  <c:v>0.27521792153610436</c:v>
                </c:pt>
                <c:pt idx="1">
                  <c:v>0.21789314710638885</c:v>
                </c:pt>
                <c:pt idx="2">
                  <c:v>0.20496759103496864</c:v>
                </c:pt>
              </c:numCache>
            </c:numRef>
          </c:val>
          <c:extLst>
            <c:ext xmlns:c16="http://schemas.microsoft.com/office/drawing/2014/chart" uri="{C3380CC4-5D6E-409C-BE32-E72D297353CC}">
              <c16:uniqueId val="{00000007-4895-4927-82F5-6C556FA109BF}"/>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'NSWOS demersal u24m o300kW'!$H$162</c:f>
              <c:strCache>
                <c:ptCount val="1"/>
                <c:pt idx="0">
                  <c:v>Anglerfish</c:v>
                </c:pt>
              </c:strCache>
            </c:strRef>
          </c:tx>
          <c:spPr>
            <a:solidFill>
              <a:srgbClr val="2273B9"/>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o300kW'!$I$162:$K$162</c:f>
              <c:numCache>
                <c:formatCode>0%</c:formatCode>
                <c:ptCount val="3"/>
                <c:pt idx="0">
                  <c:v>0.28995003138824554</c:v>
                </c:pt>
                <c:pt idx="1">
                  <c:v>0.28418857720806068</c:v>
                </c:pt>
                <c:pt idx="2">
                  <c:v>0.13597624932158536</c:v>
                </c:pt>
              </c:numCache>
            </c:numRef>
          </c:val>
          <c:extLst>
            <c:ext xmlns:c16="http://schemas.microsoft.com/office/drawing/2014/chart" uri="{C3380CC4-5D6E-409C-BE32-E72D297353CC}">
              <c16:uniqueId val="{00000000-3DA4-42BC-B5FA-17D2508B80C3}"/>
            </c:ext>
          </c:extLst>
        </c:ser>
        <c:ser>
          <c:idx val="1"/>
          <c:order val="1"/>
          <c:tx>
            <c:strRef>
              <c:f>'NSWOS demersal u24m o300kW'!$H$163</c:f>
              <c:strCache>
                <c:ptCount val="1"/>
                <c:pt idx="0">
                  <c:v>Cod</c:v>
                </c:pt>
              </c:strCache>
            </c:strRef>
          </c:tx>
          <c:spPr>
            <a:solidFill>
              <a:srgbClr val="E87308"/>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o300kW'!$I$163:$K$163</c:f>
              <c:numCache>
                <c:formatCode>0%</c:formatCode>
                <c:ptCount val="3"/>
                <c:pt idx="0">
                  <c:v>0.21060594273910072</c:v>
                </c:pt>
                <c:pt idx="1">
                  <c:v>0.26666615415985256</c:v>
                </c:pt>
                <c:pt idx="2">
                  <c:v>0.15756634067438846</c:v>
                </c:pt>
              </c:numCache>
            </c:numRef>
          </c:val>
          <c:extLst>
            <c:ext xmlns:c16="http://schemas.microsoft.com/office/drawing/2014/chart" uri="{C3380CC4-5D6E-409C-BE32-E72D297353CC}">
              <c16:uniqueId val="{00000001-3DA4-42BC-B5FA-17D2508B80C3}"/>
            </c:ext>
          </c:extLst>
        </c:ser>
        <c:ser>
          <c:idx val="2"/>
          <c:order val="2"/>
          <c:tx>
            <c:strRef>
              <c:f>'NSWOS demersal u24m o300kW'!$H$164</c:f>
              <c:strCache>
                <c:ptCount val="1"/>
                <c:pt idx="0">
                  <c:v>Haddock</c:v>
                </c:pt>
              </c:strCache>
            </c:strRef>
          </c:tx>
          <c:spPr>
            <a:solidFill>
              <a:srgbClr val="648C2E"/>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o300kW'!$I$164:$K$164</c:f>
              <c:numCache>
                <c:formatCode>0%</c:formatCode>
                <c:ptCount val="3"/>
                <c:pt idx="0">
                  <c:v>8.5409070388853814E-2</c:v>
                </c:pt>
                <c:pt idx="1">
                  <c:v>0.10087084704341347</c:v>
                </c:pt>
                <c:pt idx="2">
                  <c:v>0.10701706514665527</c:v>
                </c:pt>
              </c:numCache>
            </c:numRef>
          </c:val>
          <c:extLst>
            <c:ext xmlns:c16="http://schemas.microsoft.com/office/drawing/2014/chart" uri="{C3380CC4-5D6E-409C-BE32-E72D297353CC}">
              <c16:uniqueId val="{00000002-3DA4-42BC-B5FA-17D2508B80C3}"/>
            </c:ext>
          </c:extLst>
        </c:ser>
        <c:ser>
          <c:idx val="3"/>
          <c:order val="3"/>
          <c:tx>
            <c:strRef>
              <c:f>'NSWOS demersal u24m o300kW'!$H$165</c:f>
              <c:strCache>
                <c:ptCount val="1"/>
                <c:pt idx="0">
                  <c:v>Megrim</c:v>
                </c:pt>
              </c:strCache>
            </c:strRef>
          </c:tx>
          <c:spPr>
            <a:solidFill>
              <a:srgbClr val="C1D119"/>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o300kW'!$I$165:$K$165</c:f>
              <c:numCache>
                <c:formatCode>0%</c:formatCode>
                <c:ptCount val="3"/>
                <c:pt idx="0">
                  <c:v>0.14614399474186004</c:v>
                </c:pt>
                <c:pt idx="1">
                  <c:v>6.7372435221235621E-2</c:v>
                </c:pt>
                <c:pt idx="2">
                  <c:v>0</c:v>
                </c:pt>
              </c:numCache>
            </c:numRef>
          </c:val>
          <c:extLst>
            <c:ext xmlns:c16="http://schemas.microsoft.com/office/drawing/2014/chart" uri="{C3380CC4-5D6E-409C-BE32-E72D297353CC}">
              <c16:uniqueId val="{00000003-3DA4-42BC-B5FA-17D2508B80C3}"/>
            </c:ext>
          </c:extLst>
        </c:ser>
        <c:ser>
          <c:idx val="4"/>
          <c:order val="4"/>
          <c:tx>
            <c:strRef>
              <c:f>'NSWOS demersal u24m o300kW'!$H$166</c:f>
              <c:strCache>
                <c:ptCount val="1"/>
                <c:pt idx="0">
                  <c:v>Squid</c:v>
                </c:pt>
              </c:strCache>
            </c:strRef>
          </c:tx>
          <c:spPr>
            <a:solidFill>
              <a:srgbClr val="707271"/>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o300kW'!$I$166:$K$166</c:f>
              <c:numCache>
                <c:formatCode>0%</c:formatCode>
                <c:ptCount val="3"/>
                <c:pt idx="0">
                  <c:v>0</c:v>
                </c:pt>
                <c:pt idx="1">
                  <c:v>9.4769391780094733E-2</c:v>
                </c:pt>
                <c:pt idx="2">
                  <c:v>0</c:v>
                </c:pt>
              </c:numCache>
            </c:numRef>
          </c:val>
          <c:extLst>
            <c:ext xmlns:c16="http://schemas.microsoft.com/office/drawing/2014/chart" uri="{C3380CC4-5D6E-409C-BE32-E72D297353CC}">
              <c16:uniqueId val="{00000004-3DA4-42BC-B5FA-17D2508B80C3}"/>
            </c:ext>
          </c:extLst>
        </c:ser>
        <c:ser>
          <c:idx val="5"/>
          <c:order val="5"/>
          <c:tx>
            <c:strRef>
              <c:f>'NSWOS demersal u24m o300kW'!$H$167</c:f>
              <c:strCache>
                <c:ptCount val="1"/>
                <c:pt idx="0">
                  <c:v>Nephrops</c:v>
                </c:pt>
              </c:strCache>
            </c:strRef>
          </c:tx>
          <c:spPr>
            <a:solidFill>
              <a:srgbClr val="E84A38"/>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o300kW'!$I$167:$K$167</c:f>
              <c:numCache>
                <c:formatCode>0%</c:formatCode>
                <c:ptCount val="3"/>
                <c:pt idx="0">
                  <c:v>0</c:v>
                </c:pt>
                <c:pt idx="1">
                  <c:v>0</c:v>
                </c:pt>
                <c:pt idx="2">
                  <c:v>0.36649208030928676</c:v>
                </c:pt>
              </c:numCache>
            </c:numRef>
          </c:val>
          <c:extLst>
            <c:ext xmlns:c16="http://schemas.microsoft.com/office/drawing/2014/chart" uri="{C3380CC4-5D6E-409C-BE32-E72D297353CC}">
              <c16:uniqueId val="{00000005-3DA4-42BC-B5FA-17D2508B80C3}"/>
            </c:ext>
          </c:extLst>
        </c:ser>
        <c:ser>
          <c:idx val="6"/>
          <c:order val="6"/>
          <c:tx>
            <c:strRef>
              <c:f>'NSWOS demersal u24m o300kW'!$H$168</c:f>
              <c:strCache>
                <c:ptCount val="1"/>
                <c:pt idx="0">
                  <c:v>Whiting</c:v>
                </c:pt>
              </c:strCache>
            </c:strRef>
          </c:tx>
          <c:spPr>
            <a:solidFill>
              <a:srgbClr val="FED825"/>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o300kW'!$I$168:$K$168</c:f>
              <c:numCache>
                <c:formatCode>0%</c:formatCode>
                <c:ptCount val="3"/>
                <c:pt idx="0">
                  <c:v>0</c:v>
                </c:pt>
                <c:pt idx="1">
                  <c:v>0</c:v>
                </c:pt>
                <c:pt idx="2">
                  <c:v>7.3578117023909553E-2</c:v>
                </c:pt>
              </c:numCache>
            </c:numRef>
          </c:val>
          <c:extLst>
            <c:ext xmlns:c16="http://schemas.microsoft.com/office/drawing/2014/chart" uri="{C3380CC4-5D6E-409C-BE32-E72D297353CC}">
              <c16:uniqueId val="{00000006-3DA4-42BC-B5FA-17D2508B80C3}"/>
            </c:ext>
          </c:extLst>
        </c:ser>
        <c:ser>
          <c:idx val="7"/>
          <c:order val="7"/>
          <c:tx>
            <c:strRef>
              <c:f>'NSWOS demersal u24m o300kW'!$H$169</c:f>
              <c:strCache>
                <c:ptCount val="1"/>
                <c:pt idx="0">
                  <c:v>Ling</c:v>
                </c:pt>
              </c:strCache>
            </c:strRef>
          </c:tx>
          <c:spPr>
            <a:solidFill>
              <a:srgbClr val="51AA81"/>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o300kW'!$I$169:$K$169</c:f>
              <c:numCache>
                <c:formatCode>0%</c:formatCode>
                <c:ptCount val="3"/>
                <c:pt idx="0">
                  <c:v>4.4109804550940733E-2</c:v>
                </c:pt>
                <c:pt idx="1">
                  <c:v>0</c:v>
                </c:pt>
                <c:pt idx="2">
                  <c:v>0</c:v>
                </c:pt>
              </c:numCache>
            </c:numRef>
          </c:val>
          <c:extLst>
            <c:ext xmlns:c16="http://schemas.microsoft.com/office/drawing/2014/chart" uri="{C3380CC4-5D6E-409C-BE32-E72D297353CC}">
              <c16:uniqueId val="{00000007-3DA4-42BC-B5FA-17D2508B80C3}"/>
            </c:ext>
          </c:extLst>
        </c:ser>
        <c:ser>
          <c:idx val="8"/>
          <c:order val="8"/>
          <c:tx>
            <c:strRef>
              <c:f>'NSWOS demersal u24m o300kW'!$H$170</c:f>
              <c:strCache>
                <c:ptCount val="1"/>
                <c:pt idx="0">
                  <c:v>Others</c:v>
                </c:pt>
              </c:strCache>
            </c:strRef>
          </c:tx>
          <c:spPr>
            <a:solidFill>
              <a:srgbClr val="55585A"/>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o300kW'!$I$170:$K$170</c:f>
              <c:numCache>
                <c:formatCode>0%</c:formatCode>
                <c:ptCount val="3"/>
                <c:pt idx="0">
                  <c:v>0.22378115619099925</c:v>
                </c:pt>
                <c:pt idx="1">
                  <c:v>0.18613259458734299</c:v>
                </c:pt>
                <c:pt idx="2">
                  <c:v>0.15937014752417467</c:v>
                </c:pt>
              </c:numCache>
            </c:numRef>
          </c:val>
          <c:extLst>
            <c:ext xmlns:c16="http://schemas.microsoft.com/office/drawing/2014/chart" uri="{C3380CC4-5D6E-409C-BE32-E72D297353CC}">
              <c16:uniqueId val="{00000008-3DA4-42BC-B5FA-17D2508B80C3}"/>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'NSWOS demersal u24m o300kW'!$K$139</c:f>
              <c:strCache>
                <c:ptCount val="1"/>
                <c:pt idx="0">
                  <c:v>Total income</c:v>
                </c:pt>
              </c:strCache>
            </c:strRef>
          </c:tx>
          <c:spPr>
            <a:solidFill>
              <a:srgbClr val="087CBB"/>
            </a:solidFill>
            <a:ln>
              <a:solidFill>
                <a:schemeClr val="accent1"/>
              </a:solidFill>
            </a:ln>
          </c:spPr>
          <c:invertIfNegative val="0"/>
          <c:cat>
            <c:strRef>
              <c:f>'NSWOS demersal u24m o300kW'!$L$138:$N$138</c:f>
              <c:strCache>
                <c:ptCount val="3"/>
                <c:pt idx="0">
                  <c:v>Most
profitable
quartile</c:v>
                </c:pt>
                <c:pt idx="1">
                  <c:v>Middle
two quartiles</c:v>
                </c:pt>
                <c:pt idx="2">
                  <c:v>Least
profitable
quartile</c:v>
                </c:pt>
              </c:strCache>
            </c:strRef>
          </c:cat>
          <c:val>
            <c:numRef>
              <c:f>'NSWOS demersal u24m o300kW'!$L$139:$N$139</c:f>
              <c:numCache>
                <c:formatCode>#,##0</c:formatCode>
                <c:ptCount val="3"/>
                <c:pt idx="0">
                  <c:v>2236.8672499999998</c:v>
                </c:pt>
                <c:pt idx="1">
                  <c:v>1396.2603750000001</c:v>
                </c:pt>
                <c:pt idx="2">
                  <c:v>829.79862500000002</c:v>
                </c:pt>
              </c:numCache>
            </c:numRef>
          </c:val>
          <c:extLst>
            <c:ext xmlns:c16="http://schemas.microsoft.com/office/drawing/2014/chart" uri="{C3380CC4-5D6E-409C-BE32-E72D297353CC}">
              <c16:uniqueId val="{00000000-D637-499B-B169-C56954C5F3EE}"/>
            </c:ext>
          </c:extLst>
        </c:ser>
        <c:ser>
          <c:idx val="1"/>
          <c:order val="1"/>
          <c:tx>
            <c:strRef>
              <c:f>'NSWOS demersal u24m o300kW'!$K$140</c:f>
              <c:strCache>
                <c:ptCount val="1"/>
                <c:pt idx="0">
                  <c:v>Operating costs</c:v>
                </c:pt>
              </c:strCache>
            </c:strRef>
          </c:tx>
          <c:spPr>
            <a:solidFill>
              <a:srgbClr val="E87308"/>
            </a:solidFill>
          </c:spPr>
          <c:invertIfNegative val="0"/>
          <c:cat>
            <c:strRef>
              <c:f>'NSWOS demersal u24m o300kW'!$L$138:$N$138</c:f>
              <c:strCache>
                <c:ptCount val="3"/>
                <c:pt idx="0">
                  <c:v>Most
profitable
quartile</c:v>
                </c:pt>
                <c:pt idx="1">
                  <c:v>Middle
two quartiles</c:v>
                </c:pt>
                <c:pt idx="2">
                  <c:v>Least
profitable
quartile</c:v>
                </c:pt>
              </c:strCache>
            </c:strRef>
          </c:cat>
          <c:val>
            <c:numRef>
              <c:f>'NSWOS demersal u24m o300kW'!$L$140:$N$140</c:f>
              <c:numCache>
                <c:formatCode>#,##0</c:formatCode>
                <c:ptCount val="3"/>
                <c:pt idx="0">
                  <c:v>1636.6005</c:v>
                </c:pt>
                <c:pt idx="1">
                  <c:v>1096.5995625</c:v>
                </c:pt>
                <c:pt idx="2">
                  <c:v>724.71531249999998</c:v>
                </c:pt>
              </c:numCache>
            </c:numRef>
          </c:val>
          <c:extLst>
            <c:ext xmlns:c16="http://schemas.microsoft.com/office/drawing/2014/chart" uri="{C3380CC4-5D6E-409C-BE32-E72D297353CC}">
              <c16:uniqueId val="{00000001-D637-499B-B169-C56954C5F3EE}"/>
            </c:ext>
          </c:extLst>
        </c:ser>
        <c:ser>
          <c:idx val="2"/>
          <c:order val="2"/>
          <c:tx>
            <c:strRef>
              <c:f>'NSWOS demersal u24m o300kW'!$K$141</c:f>
              <c:strCache>
                <c:ptCount val="1"/>
                <c:pt idx="0">
                  <c:v>Operating profit</c:v>
                </c:pt>
              </c:strCache>
            </c:strRef>
          </c:tx>
          <c:spPr>
            <a:solidFill>
              <a:srgbClr val="51AA81"/>
            </a:solidFill>
          </c:spPr>
          <c:invertIfNegative val="0"/>
          <c:cat>
            <c:strRef>
              <c:f>'NSWOS demersal u24m o300kW'!$L$138:$N$138</c:f>
              <c:strCache>
                <c:ptCount val="3"/>
                <c:pt idx="0">
                  <c:v>Most
profitable
quartile</c:v>
                </c:pt>
                <c:pt idx="1">
                  <c:v>Middle
two quartiles</c:v>
                </c:pt>
                <c:pt idx="2">
                  <c:v>Least
profitable
quartile</c:v>
                </c:pt>
              </c:strCache>
            </c:strRef>
          </c:cat>
          <c:val>
            <c:numRef>
              <c:f>'NSWOS demersal u24m o300kW'!$L$141:$N$141</c:f>
              <c:numCache>
                <c:formatCode>#,##0</c:formatCode>
                <c:ptCount val="3"/>
                <c:pt idx="0">
                  <c:v>600.26675</c:v>
                </c:pt>
                <c:pt idx="1">
                  <c:v>299.66081250000002</c:v>
                </c:pt>
                <c:pt idx="2">
                  <c:v>105.08331250000001</c:v>
                </c:pt>
              </c:numCache>
            </c:numRef>
          </c:val>
          <c:extLst>
            <c:ext xmlns:c16="http://schemas.microsoft.com/office/drawing/2014/chart" uri="{C3380CC4-5D6E-409C-BE32-E72D297353CC}">
              <c16:uniqueId val="{00000002-D637-499B-B169-C56954C5F3EE}"/>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'NSWOS demersal u24m o300kW'!$K$142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u300kW'!$A$48</c:f>
          <c:strCache>
            <c:ptCount val="1"/>
            <c:pt idx="0">
              <c:v>Landings per kW day at sea (kg)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D832-44D4-BAF5-5988858DD85D}"/>
              </c:ext>
            </c:extLst>
          </c:dPt>
          <c:dPt>
            <c:idx val="10"/>
            <c:bubble3D val="0"/>
            <c:spPr>
              <a:ln w="57150">
                <a:solidFill>
                  <a:srgbClr val="2273B9"/>
                </a:solidFill>
                <a:prstDash val="sysDot"/>
              </a:ln>
            </c:spPr>
            <c:extLst>
              <c:ext xmlns:c16="http://schemas.microsoft.com/office/drawing/2014/chart" uri="{C3380CC4-5D6E-409C-BE32-E72D297353CC}">
                <c16:uniqueId val="{00000003-D832-44D4-BAF5-5988858DD85D}"/>
              </c:ext>
            </c:extLst>
          </c:dPt>
          <c:cat>
            <c:numRef>
              <c:f>'NSWOS demersal u24m u300kW'!$D$2:$N$2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'NSWOS demersal u24m u300kW'!$D$21:$N$21</c:f>
              <c:numCache>
                <c:formatCode>#,##0.00</c:formatCode>
                <c:ptCount val="11"/>
                <c:pt idx="0">
                  <c:v>4.8276262429194317</c:v>
                </c:pt>
                <c:pt idx="1">
                  <c:v>5.5002880272759604</c:v>
                </c:pt>
                <c:pt idx="2">
                  <c:v>7.6653301368914653</c:v>
                </c:pt>
                <c:pt idx="3">
                  <c:v>7.9114962639964865</c:v>
                </c:pt>
                <c:pt idx="4">
                  <c:v>4.9696754209153182</c:v>
                </c:pt>
                <c:pt idx="5">
                  <c:v>3.9697490227701131</c:v>
                </c:pt>
                <c:pt idx="6">
                  <c:v>4.6695379283710974</c:v>
                </c:pt>
                <c:pt idx="7">
                  <c:v>4.5175580097613892</c:v>
                </c:pt>
                <c:pt idx="8">
                  <c:v>4.7330681450512442</c:v>
                </c:pt>
                <c:pt idx="9">
                  <c:v>3.7099456485360918</c:v>
                </c:pt>
                <c:pt idx="10">
                  <c:v>3.8839985959231096</c:v>
                </c:pt>
              </c:numCache>
            </c:numRef>
          </c:val>
          <c:smooth val="0"/>
          <c:extLst>
            <c:ext xmlns:c16="http://schemas.microsoft.com/office/drawing/2014/chart" uri="{C3380CC4-5D6E-409C-BE32-E72D297353CC}">
              <c16:uniqueId val="{00000004-D832-44D4-BAF5-5988858DD85D}"/>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u300kW'!$A$49</c:f>
          <c:strCache>
            <c:ptCount val="1"/>
            <c:pt idx="0">
              <c:v>Fishing income per kW day at sea (£)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E4FE-4030-9827-A78A611AFAD9}"/>
              </c:ext>
            </c:extLst>
          </c:dPt>
          <c:dPt>
            <c:idx val="10"/>
            <c:bubble3D val="0"/>
            <c:spPr>
              <a:ln w="57150">
                <a:solidFill>
                  <a:srgbClr val="648C2E"/>
                </a:solidFill>
                <a:prstDash val="sysDot"/>
              </a:ln>
            </c:spPr>
            <c:extLst>
              <c:ext xmlns:c16="http://schemas.microsoft.com/office/drawing/2014/chart" uri="{C3380CC4-5D6E-409C-BE32-E72D297353CC}">
                <c16:uniqueId val="{00000003-E4FE-4030-9827-A78A611AFAD9}"/>
              </c:ext>
            </c:extLst>
          </c:dPt>
          <c:cat>
            <c:numRef>
              <c:f>'NSWOS demersal u24m u300kW'!$D$2:$N$2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'NSWOS demersal u24m u300kW'!$D$22:$N$22</c:f>
              <c:numCache>
                <c:formatCode>#,##0.00</c:formatCode>
                <c:ptCount val="11"/>
                <c:pt idx="0">
                  <c:v>8.9340029241494001</c:v>
                </c:pt>
                <c:pt idx="1">
                  <c:v>11.3612219693856</c:v>
                </c:pt>
                <c:pt idx="2">
                  <c:v>12.609181179180601</c:v>
                </c:pt>
                <c:pt idx="3">
                  <c:v>11.9411418309897</c:v>
                </c:pt>
                <c:pt idx="4">
                  <c:v>9.9639793446128593</c:v>
                </c:pt>
                <c:pt idx="5">
                  <c:v>8.7260563499327795</c:v>
                </c:pt>
                <c:pt idx="6">
                  <c:v>12.336021834098</c:v>
                </c:pt>
                <c:pt idx="7">
                  <c:v>13.9395099839309</c:v>
                </c:pt>
                <c:pt idx="8">
                  <c:v>12.5639525736024</c:v>
                </c:pt>
                <c:pt idx="9">
                  <c:v>11.3102469661016</c:v>
                </c:pt>
                <c:pt idx="10">
                  <c:v>8.1039774593999354</c:v>
                </c:pt>
              </c:numCache>
            </c:numRef>
          </c:val>
          <c:smooth val="0"/>
          <c:extLst>
            <c:ext xmlns:c16="http://schemas.microsoft.com/office/drawing/2014/chart" uri="{C3380CC4-5D6E-409C-BE32-E72D297353CC}">
              <c16:uniqueId val="{00000004-E4FE-4030-9827-A78A611AFAD9}"/>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u300kW'!$B$62</c:f>
          <c:strCache>
            <c:ptCount val="1"/>
            <c:pt idx="0">
              <c:v>Total cost per kW day at sea (£)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5851-4751-B390-CB388CE2A222}"/>
              </c:ext>
            </c:extLst>
          </c:dPt>
          <c:dPt>
            <c:idx val="10"/>
            <c:bubble3D val="0"/>
            <c:spPr>
              <a:ln w="57150">
                <a:solidFill>
                  <a:srgbClr val="087CBB"/>
                </a:solidFill>
                <a:prstDash val="sysDot"/>
              </a:ln>
            </c:spPr>
            <c:extLst>
              <c:ext xmlns:c16="http://schemas.microsoft.com/office/drawing/2014/chart" uri="{C3380CC4-5D6E-409C-BE32-E72D297353CC}">
                <c16:uniqueId val="{00000003-5851-4751-B390-CB388CE2A222}"/>
              </c:ext>
            </c:extLst>
          </c:dPt>
          <c:cat>
            <c:numRef>
              <c:f>'NSWOS demersal u24m u300kW'!$D$2:$N$2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'NSWOS demersal u24m u300kW'!$D$23:$N$23</c:f>
              <c:numCache>
                <c:formatCode>#,##0.00</c:formatCode>
                <c:ptCount val="11"/>
                <c:pt idx="0">
                  <c:v>7.7533864130903396</c:v>
                </c:pt>
                <c:pt idx="1">
                  <c:v>11.926781482020999</c:v>
                </c:pt>
                <c:pt idx="2">
                  <c:v>12.3031573743104</c:v>
                </c:pt>
                <c:pt idx="3">
                  <c:v>11.228213386768401</c:v>
                </c:pt>
                <c:pt idx="4">
                  <c:v>9.3236170085690304</c:v>
                </c:pt>
                <c:pt idx="5">
                  <c:v>7.8159714597207</c:v>
                </c:pt>
                <c:pt idx="6">
                  <c:v>10.3502755731951</c:v>
                </c:pt>
                <c:pt idx="7">
                  <c:v>12.6388330861445</c:v>
                </c:pt>
                <c:pt idx="8">
                  <c:v>12.1602589078975</c:v>
                </c:pt>
                <c:pt idx="9">
                  <c:v>10.7408701344789</c:v>
                </c:pt>
                <c:pt idx="10">
                  <c:v>8.848412568899148</c:v>
                </c:pt>
              </c:numCache>
            </c:numRef>
          </c:val>
          <c:smooth val="0"/>
          <c:extLst>
            <c:ext xmlns:c16="http://schemas.microsoft.com/office/drawing/2014/chart" uri="{C3380CC4-5D6E-409C-BE32-E72D297353CC}">
              <c16:uniqueId val="{00000004-5851-4751-B390-CB388CE2A222}"/>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'Area VIIa nephrops o250kW'!$B$162</c:f>
              <c:strCache>
                <c:ptCount val="1"/>
                <c:pt idx="0">
                  <c:v>Nephrops</c:v>
                </c:pt>
              </c:strCache>
            </c:strRef>
          </c:tx>
          <c:spPr>
            <a:solidFill>
              <a:srgbClr val="2273B9"/>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o250kW'!$C$162:$E$162</c:f>
              <c:numCache>
                <c:formatCode>0%</c:formatCode>
                <c:ptCount val="3"/>
                <c:pt idx="0">
                  <c:v>0.86967320789350411</c:v>
                </c:pt>
                <c:pt idx="1">
                  <c:v>0.82503475563364581</c:v>
                </c:pt>
                <c:pt idx="2">
                  <c:v>0.85672737490162743</c:v>
                </c:pt>
              </c:numCache>
            </c:numRef>
          </c:val>
          <c:extLst>
            <c:ext xmlns:c16="http://schemas.microsoft.com/office/drawing/2014/chart" uri="{C3380CC4-5D6E-409C-BE32-E72D297353CC}">
              <c16:uniqueId val="{00000000-97DE-4753-9F52-B9A76CEC841A}"/>
            </c:ext>
          </c:extLst>
        </c:ser>
        <c:ser>
          <c:idx val="1"/>
          <c:order val="1"/>
          <c:tx>
            <c:strRef>
              <c:f>'Area VIIa nephrops o250kW'!$B$163</c:f>
              <c:strCache>
                <c:ptCount val="1"/>
                <c:pt idx="0">
                  <c:v>Les. Spot. Dog</c:v>
                </c:pt>
              </c:strCache>
            </c:strRef>
          </c:tx>
          <c:spPr>
            <a:solidFill>
              <a:srgbClr val="0F9AA9"/>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o250kW'!$C$163:$E$163</c:f>
              <c:numCache>
                <c:formatCode>0%</c:formatCode>
                <c:ptCount val="3"/>
                <c:pt idx="0">
                  <c:v>3.6881005184314621E-2</c:v>
                </c:pt>
                <c:pt idx="1">
                  <c:v>8.1868159625016437E-2</c:v>
                </c:pt>
                <c:pt idx="2">
                  <c:v>3.9042026175539944E-2</c:v>
                </c:pt>
              </c:numCache>
            </c:numRef>
          </c:val>
          <c:extLst>
            <c:ext xmlns:c16="http://schemas.microsoft.com/office/drawing/2014/chart" uri="{C3380CC4-5D6E-409C-BE32-E72D297353CC}">
              <c16:uniqueId val="{00000001-97DE-4753-9F52-B9A76CEC841A}"/>
            </c:ext>
          </c:extLst>
        </c:ser>
        <c:ser>
          <c:idx val="2"/>
          <c:order val="2"/>
          <c:tx>
            <c:strRef>
              <c:f>'Area VIIa nephrops o250kW'!$B$164</c:f>
              <c:strCache>
                <c:ptCount val="1"/>
                <c:pt idx="0">
                  <c:v>Haddock</c:v>
                </c:pt>
              </c:strCache>
            </c:strRef>
          </c:tx>
          <c:spPr>
            <a:solidFill>
              <a:srgbClr val="648C2E"/>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o250kW'!$C$164:$E$164</c:f>
              <c:numCache>
                <c:formatCode>0%</c:formatCode>
                <c:ptCount val="3"/>
                <c:pt idx="0">
                  <c:v>1.3162473453477064E-2</c:v>
                </c:pt>
                <c:pt idx="1">
                  <c:v>4.5947330904745468E-2</c:v>
                </c:pt>
                <c:pt idx="2">
                  <c:v>3.8233669457015104E-2</c:v>
                </c:pt>
              </c:numCache>
            </c:numRef>
          </c:val>
          <c:extLst>
            <c:ext xmlns:c16="http://schemas.microsoft.com/office/drawing/2014/chart" uri="{C3380CC4-5D6E-409C-BE32-E72D297353CC}">
              <c16:uniqueId val="{00000002-97DE-4753-9F52-B9A76CEC841A}"/>
            </c:ext>
          </c:extLst>
        </c:ser>
        <c:ser>
          <c:idx val="3"/>
          <c:order val="3"/>
          <c:tx>
            <c:strRef>
              <c:f>'Area VIIa nephrops o250kW'!$B$165</c:f>
              <c:strCache>
                <c:ptCount val="1"/>
                <c:pt idx="0">
                  <c:v>Anglerfish</c:v>
                </c:pt>
              </c:strCache>
            </c:strRef>
          </c:tx>
          <c:spPr>
            <a:solidFill>
              <a:srgbClr val="E87308"/>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o250kW'!$C$165:$E$165</c:f>
              <c:numCache>
                <c:formatCode>0%</c:formatCode>
                <c:ptCount val="3"/>
                <c:pt idx="0">
                  <c:v>2.1469190239246306E-2</c:v>
                </c:pt>
                <c:pt idx="1">
                  <c:v>2.0990257574818792E-2</c:v>
                </c:pt>
                <c:pt idx="2">
                  <c:v>2.2442652704209174E-2</c:v>
                </c:pt>
              </c:numCache>
            </c:numRef>
          </c:val>
          <c:extLst>
            <c:ext xmlns:c16="http://schemas.microsoft.com/office/drawing/2014/chart" uri="{C3380CC4-5D6E-409C-BE32-E72D297353CC}">
              <c16:uniqueId val="{00000003-97DE-4753-9F52-B9A76CEC841A}"/>
            </c:ext>
          </c:extLst>
        </c:ser>
        <c:ser>
          <c:idx val="4"/>
          <c:order val="4"/>
          <c:tx>
            <c:strRef>
              <c:f>'Area VIIa nephrops o250kW'!$B$166</c:f>
              <c:strCache>
                <c:ptCount val="1"/>
                <c:pt idx="0">
                  <c:v>Cod</c:v>
                </c:pt>
              </c:strCache>
            </c:strRef>
          </c:tx>
          <c:spPr>
            <a:solidFill>
              <a:srgbClr val="E84A38"/>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o250kW'!$C$166:$E$166</c:f>
              <c:numCache>
                <c:formatCode>0%</c:formatCode>
                <c:ptCount val="3"/>
                <c:pt idx="0">
                  <c:v>0</c:v>
                </c:pt>
                <c:pt idx="1">
                  <c:v>7.1653667234369191E-3</c:v>
                </c:pt>
                <c:pt idx="2">
                  <c:v>0</c:v>
                </c:pt>
              </c:numCache>
            </c:numRef>
          </c:val>
          <c:extLst>
            <c:ext xmlns:c16="http://schemas.microsoft.com/office/drawing/2014/chart" uri="{C3380CC4-5D6E-409C-BE32-E72D297353CC}">
              <c16:uniqueId val="{00000004-97DE-4753-9F52-B9A76CEC841A}"/>
            </c:ext>
          </c:extLst>
        </c:ser>
        <c:ser>
          <c:idx val="5"/>
          <c:order val="5"/>
          <c:tx>
            <c:strRef>
              <c:f>'Area VIIa nephrops o250kW'!$B$167</c:f>
              <c:strCache>
                <c:ptCount val="1"/>
                <c:pt idx="0">
                  <c:v>Thornback Ray</c:v>
                </c:pt>
              </c:strCache>
            </c:strRef>
          </c:tx>
          <c:spPr>
            <a:solidFill>
              <a:srgbClr val="FED825"/>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o250kW'!$C$167:$E$167</c:f>
              <c:numCache>
                <c:formatCode>0%</c:formatCode>
                <c:ptCount val="3"/>
                <c:pt idx="0">
                  <c:v>0</c:v>
                </c:pt>
                <c:pt idx="1">
                  <c:v>0</c:v>
                </c:pt>
                <c:pt idx="2">
                  <c:v>1.3949850868555975E-2</c:v>
                </c:pt>
              </c:numCache>
            </c:numRef>
          </c:val>
          <c:extLst>
            <c:ext xmlns:c16="http://schemas.microsoft.com/office/drawing/2014/chart" uri="{C3380CC4-5D6E-409C-BE32-E72D297353CC}">
              <c16:uniqueId val="{00000005-97DE-4753-9F52-B9A76CEC841A}"/>
            </c:ext>
          </c:extLst>
        </c:ser>
        <c:ser>
          <c:idx val="6"/>
          <c:order val="6"/>
          <c:tx>
            <c:strRef>
              <c:f>'Area VIIa nephrops o250kW'!$B$168</c:f>
              <c:strCache>
                <c:ptCount val="1"/>
                <c:pt idx="0">
                  <c:v>Cuttlefish</c:v>
                </c:pt>
              </c:strCache>
            </c:strRef>
          </c:tx>
          <c:spPr>
            <a:solidFill>
              <a:srgbClr val="C1D119"/>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o250kW'!$C$168:$E$168</c:f>
              <c:numCache>
                <c:formatCode>0%</c:formatCode>
                <c:ptCount val="3"/>
                <c:pt idx="0">
                  <c:v>2.6416311740315321E-2</c:v>
                </c:pt>
                <c:pt idx="1">
                  <c:v>0</c:v>
                </c:pt>
                <c:pt idx="2">
                  <c:v>0</c:v>
                </c:pt>
              </c:numCache>
            </c:numRef>
          </c:val>
          <c:extLst>
            <c:ext xmlns:c16="http://schemas.microsoft.com/office/drawing/2014/chart" uri="{C3380CC4-5D6E-409C-BE32-E72D297353CC}">
              <c16:uniqueId val="{00000006-97DE-4753-9F52-B9A76CEC841A}"/>
            </c:ext>
          </c:extLst>
        </c:ser>
        <c:ser>
          <c:idx val="7"/>
          <c:order val="7"/>
          <c:tx>
            <c:strRef>
              <c:f>'Area VIIa nephrops o250kW'!$B$169</c:f>
              <c:strCache>
                <c:ptCount val="1"/>
                <c:pt idx="0">
                  <c:v>Others</c:v>
                </c:pt>
              </c:strCache>
            </c:strRef>
          </c:tx>
          <c:spPr>
            <a:solidFill>
              <a:srgbClr val="55585A"/>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o250kW'!$C$169:$E$169</c:f>
              <c:numCache>
                <c:formatCode>0%</c:formatCode>
                <c:ptCount val="3"/>
                <c:pt idx="0">
                  <c:v>3.2397811489142558E-2</c:v>
                </c:pt>
                <c:pt idx="1">
                  <c:v>1.8994129538336568E-2</c:v>
                </c:pt>
                <c:pt idx="2">
                  <c:v>2.9604425893052344E-2</c:v>
                </c:pt>
              </c:numCache>
            </c:numRef>
          </c:val>
          <c:extLst>
            <c:ext xmlns:c16="http://schemas.microsoft.com/office/drawing/2014/chart" uri="{C3380CC4-5D6E-409C-BE32-E72D297353CC}">
              <c16:uniqueId val="{00000007-97DE-4753-9F52-B9A76CEC841A}"/>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u300kW'!$K$48</c:f>
          <c:strCache>
            <c:ptCount val="1"/>
            <c:pt idx="0">
              <c:v>Operating profit per kW day at sea (£)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F3E7-4EF5-9F08-6766BAC6DDBF}"/>
              </c:ext>
            </c:extLst>
          </c:dPt>
          <c:dPt>
            <c:idx val="10"/>
            <c:bubble3D val="0"/>
            <c:spPr>
              <a:ln w="57150">
                <a:solidFill>
                  <a:schemeClr val="accent3"/>
                </a:solidFill>
                <a:prstDash val="sysDot"/>
              </a:ln>
            </c:spPr>
            <c:extLst>
              <c:ext xmlns:c16="http://schemas.microsoft.com/office/drawing/2014/chart" uri="{C3380CC4-5D6E-409C-BE32-E72D297353CC}">
                <c16:uniqueId val="{00000003-F3E7-4EF5-9F08-6766BAC6DDBF}"/>
              </c:ext>
            </c:extLst>
          </c:dPt>
          <c:cat>
            <c:numRef>
              <c:f>'NSWOS demersal u24m u300kW'!$D$2:$N$2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'NSWOS demersal u24m u300kW'!$D$24:$N$24</c:f>
              <c:numCache>
                <c:formatCode>#,##0.00</c:formatCode>
                <c:ptCount val="11"/>
                <c:pt idx="0">
                  <c:v>1.63586539910228</c:v>
                </c:pt>
                <c:pt idx="1">
                  <c:v>3.2729265740905999</c:v>
                </c:pt>
                <c:pt idx="2">
                  <c:v>2.5402840486531</c:v>
                </c:pt>
                <c:pt idx="3">
                  <c:v>1.9849195708257901</c:v>
                </c:pt>
                <c:pt idx="4">
                  <c:v>1.5061320160663401</c:v>
                </c:pt>
                <c:pt idx="5">
                  <c:v>1.48956397924248</c:v>
                </c:pt>
                <c:pt idx="6">
                  <c:v>2.0354009506561201</c:v>
                </c:pt>
                <c:pt idx="7">
                  <c:v>5.2360587836265902</c:v>
                </c:pt>
                <c:pt idx="8">
                  <c:v>1.99986726192826</c:v>
                </c:pt>
                <c:pt idx="9">
                  <c:v>1.76259725807061</c:v>
                </c:pt>
                <c:pt idx="10">
                  <c:v>1.5921918467900622</c:v>
                </c:pt>
              </c:numCache>
            </c:numRef>
          </c:val>
          <c:smooth val="0"/>
          <c:extLst>
            <c:ext xmlns:c16="http://schemas.microsoft.com/office/drawing/2014/chart" uri="{C3380CC4-5D6E-409C-BE32-E72D297353CC}">
              <c16:uniqueId val="{00000004-F3E7-4EF5-9F08-6766BAC6DDBF}"/>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u300kW'!$A$50</c:f>
          <c:strCache>
            <c:ptCount val="1"/>
            <c:pt idx="0">
              <c:v>Average price per tonne landed (£)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DCFB-4661-B661-46FD9614A4A1}"/>
              </c:ext>
            </c:extLst>
          </c:dPt>
          <c:dPt>
            <c:idx val="10"/>
            <c:bubble3D val="0"/>
            <c:spPr>
              <a:ln w="57150">
                <a:solidFill>
                  <a:schemeClr val="accent4"/>
                </a:solidFill>
                <a:prstDash val="sysDot"/>
              </a:ln>
            </c:spPr>
            <c:extLst>
              <c:ext xmlns:c16="http://schemas.microsoft.com/office/drawing/2014/chart" uri="{C3380CC4-5D6E-409C-BE32-E72D297353CC}">
                <c16:uniqueId val="{00000003-DCFB-4661-B661-46FD9614A4A1}"/>
              </c:ext>
            </c:extLst>
          </c:dPt>
          <c:cat>
            <c:numRef>
              <c:f>'NSWOS demersal u24m u300kW'!$D$2:$M$2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'NSWOS demersal u24m u300kW'!$D$20:$N$20</c:f>
              <c:numCache>
                <c:formatCode>#,##0</c:formatCode>
                <c:ptCount val="11"/>
                <c:pt idx="0">
                  <c:v>1851</c:v>
                </c:pt>
                <c:pt idx="1">
                  <c:v>2066</c:v>
                </c:pt>
                <c:pt idx="2">
                  <c:v>1645</c:v>
                </c:pt>
                <c:pt idx="3">
                  <c:v>1509</c:v>
                </c:pt>
                <c:pt idx="4">
                  <c:v>2005</c:v>
                </c:pt>
                <c:pt idx="5">
                  <c:v>2198</c:v>
                </c:pt>
                <c:pt idx="6">
                  <c:v>2642</c:v>
                </c:pt>
                <c:pt idx="7">
                  <c:v>3086</c:v>
                </c:pt>
                <c:pt idx="8">
                  <c:v>2655</c:v>
                </c:pt>
                <c:pt idx="9">
                  <c:v>3049</c:v>
                </c:pt>
                <c:pt idx="10">
                  <c:v>2087</c:v>
                </c:pt>
              </c:numCache>
            </c:numRef>
          </c:val>
          <c:smooth val="0"/>
          <c:extLst>
            <c:ext xmlns:c16="http://schemas.microsoft.com/office/drawing/2014/chart" uri="{C3380CC4-5D6E-409C-BE32-E72D297353CC}">
              <c16:uniqueId val="{00000004-DCFB-4661-B661-46FD9614A4A1}"/>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u300kW'!$K$62</c:f>
          <c:strCache>
            <c:ptCount val="1"/>
            <c:pt idx="0">
              <c:v>Average annual operating profit per vessel (£'000)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6CEB-4EFF-AAAA-4B6A56FFC93E}"/>
              </c:ext>
            </c:extLst>
          </c:dPt>
          <c:dPt>
            <c:idx val="10"/>
            <c:bubble3D val="0"/>
            <c:spPr>
              <a:ln w="57150">
                <a:solidFill>
                  <a:schemeClr val="accent5"/>
                </a:solidFill>
                <a:prstDash val="sysDot"/>
              </a:ln>
            </c:spPr>
            <c:extLst>
              <c:ext xmlns:c16="http://schemas.microsoft.com/office/drawing/2014/chart" uri="{C3380CC4-5D6E-409C-BE32-E72D297353CC}">
                <c16:uniqueId val="{00000003-6CEB-4EFF-AAAA-4B6A56FFC93E}"/>
              </c:ext>
            </c:extLst>
          </c:dPt>
          <c:cat>
            <c:numRef>
              <c:f>'NSWOS demersal u24m u300kW'!$D$2:$M$2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'NSWOS demersal u24m u300kW'!$D$37:$N$37</c:f>
              <c:numCache>
                <c:formatCode>#,##0.0</c:formatCode>
                <c:ptCount val="11"/>
                <c:pt idx="0">
                  <c:v>49.7</c:v>
                </c:pt>
                <c:pt idx="1">
                  <c:v>84.1</c:v>
                </c:pt>
                <c:pt idx="2">
                  <c:v>56.8</c:v>
                </c:pt>
                <c:pt idx="3">
                  <c:v>53.2</c:v>
                </c:pt>
                <c:pt idx="4">
                  <c:v>35.4</c:v>
                </c:pt>
                <c:pt idx="5">
                  <c:v>36.700000000000003</c:v>
                </c:pt>
                <c:pt idx="6">
                  <c:v>60.3</c:v>
                </c:pt>
                <c:pt idx="7">
                  <c:v>100.1</c:v>
                </c:pt>
                <c:pt idx="8">
                  <c:v>54.6</c:v>
                </c:pt>
                <c:pt idx="9">
                  <c:v>55.2</c:v>
                </c:pt>
                <c:pt idx="10">
                  <c:v>54.5</c:v>
                </c:pt>
              </c:numCache>
            </c:numRef>
          </c:val>
          <c:smooth val="0"/>
          <c:extLst>
            <c:ext xmlns:c16="http://schemas.microsoft.com/office/drawing/2014/chart" uri="{C3380CC4-5D6E-409C-BE32-E72D297353CC}">
              <c16:uniqueId val="{00000004-6CEB-4EFF-AAAA-4B6A56FFC93E}"/>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u300kW'!$A$76</c:f>
          <c:strCache>
            <c:ptCount val="1"/>
            <c:pt idx="0">
              <c:v>Top 5 landed species by volume in 2019
NSWOS demersal under 24m under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A228-4C19-A351-75C5D598C25C}"/>
              </c:ext>
            </c:extLst>
          </c:dPt>
          <c:dPt>
            <c:idx val="1"/>
            <c:bubble3D val="0"/>
            <c:spPr>
              <a:solidFill>
                <a:srgbClr val="E87308"/>
              </a:solidFill>
              <a:ln>
                <a:solidFill>
                  <a:srgbClr val="FFFFFF"/>
                </a:solidFill>
              </a:ln>
            </c:spPr>
            <c:extLst>
              <c:ext xmlns:c16="http://schemas.microsoft.com/office/drawing/2014/chart" uri="{C3380CC4-5D6E-409C-BE32-E72D297353CC}">
                <c16:uniqueId val="{00000003-A228-4C19-A351-75C5D598C25C}"/>
              </c:ext>
            </c:extLst>
          </c:dPt>
          <c:dPt>
            <c:idx val="2"/>
            <c:bubble3D val="0"/>
            <c:spPr>
              <a:solidFill>
                <a:srgbClr val="E84A38"/>
              </a:solidFill>
              <a:ln>
                <a:solidFill>
                  <a:srgbClr val="FFFFFF"/>
                </a:solidFill>
              </a:ln>
            </c:spPr>
            <c:extLst>
              <c:ext xmlns:c16="http://schemas.microsoft.com/office/drawing/2014/chart" uri="{C3380CC4-5D6E-409C-BE32-E72D297353CC}">
                <c16:uniqueId val="{00000005-A228-4C19-A351-75C5D598C25C}"/>
              </c:ext>
            </c:extLst>
          </c:dPt>
          <c:dPt>
            <c:idx val="3"/>
            <c:bubble3D val="0"/>
            <c:spPr>
              <a:solidFill>
                <a:srgbClr val="648C2E"/>
              </a:solidFill>
              <a:ln>
                <a:solidFill>
                  <a:srgbClr val="FFFFFF"/>
                </a:solidFill>
              </a:ln>
            </c:spPr>
            <c:extLst>
              <c:ext xmlns:c16="http://schemas.microsoft.com/office/drawing/2014/chart" uri="{C3380CC4-5D6E-409C-BE32-E72D297353CC}">
                <c16:uniqueId val="{00000007-A228-4C19-A351-75C5D598C25C}"/>
              </c:ext>
            </c:extLst>
          </c:dPt>
          <c:dPt>
            <c:idx val="4"/>
            <c:bubble3D val="0"/>
            <c:spPr>
              <a:solidFill>
                <a:srgbClr val="C1D119"/>
              </a:solidFill>
              <a:ln>
                <a:solidFill>
                  <a:srgbClr val="FFFFFF"/>
                </a:solidFill>
              </a:ln>
            </c:spPr>
            <c:extLst>
              <c:ext xmlns:c16="http://schemas.microsoft.com/office/drawing/2014/chart" uri="{C3380CC4-5D6E-409C-BE32-E72D297353CC}">
                <c16:uniqueId val="{00000009-A228-4C19-A351-75C5D598C25C}"/>
              </c:ext>
            </c:extLst>
          </c:dPt>
          <c:dPt>
            <c:idx val="5"/>
            <c:bubble3D val="0"/>
            <c:spPr>
              <a:solidFill>
                <a:srgbClr val="55585A"/>
              </a:solidFill>
              <a:ln>
                <a:solidFill>
                  <a:srgbClr val="FFFFFF"/>
                </a:solidFill>
              </a:ln>
            </c:spPr>
            <c:extLst>
              <c:ext xmlns:c16="http://schemas.microsoft.com/office/drawing/2014/chart" uri="{C3380CC4-5D6E-409C-BE32-E72D297353CC}">
                <c16:uniqueId val="{0000000B-A228-4C19-A351-75C5D598C25C}"/>
              </c:ext>
            </c:extLst>
          </c:dPt>
          <c:cat>
            <c:strRef>
              <c:f>'NSWOS demersal u24m u300kW'!$B$77:$B$82</c:f>
              <c:strCache>
                <c:ptCount val="6"/>
                <c:pt idx="0">
                  <c:v>Squid - 15.0%</c:v>
                </c:pt>
                <c:pt idx="1">
                  <c:v>Cod - 14.5%</c:v>
                </c:pt>
                <c:pt idx="2">
                  <c:v>Haddock - 13.5%</c:v>
                </c:pt>
                <c:pt idx="3">
                  <c:v>Nephrops - 11.8%</c:v>
                </c:pt>
                <c:pt idx="4">
                  <c:v>Anglerfish - 10.6%</c:v>
                </c:pt>
                <c:pt idx="5">
                  <c:v>Others - 34.6%</c:v>
                </c:pt>
              </c:strCache>
            </c:strRef>
          </c:cat>
          <c:val>
            <c:numRef>
              <c:f>'NSWOS demersal u24m u300kW'!$C$77:$C$82</c:f>
              <c:numCache>
                <c:formatCode>0.0%</c:formatCode>
                <c:ptCount val="6"/>
                <c:pt idx="0">
                  <c:v>0.15030795238046907</c:v>
                </c:pt>
                <c:pt idx="1">
                  <c:v>0.14532468503630658</c:v>
                </c:pt>
                <c:pt idx="2">
                  <c:v>0.13523154423525999</c:v>
                </c:pt>
                <c:pt idx="3">
                  <c:v>0.11754009718543033</c:v>
                </c:pt>
                <c:pt idx="4">
                  <c:v>0.10596938196967963</c:v>
                </c:pt>
                <c:pt idx="5">
                  <c:v>0.34562633919285435</c:v>
                </c:pt>
              </c:numCache>
            </c:numRef>
          </c:val>
          <c:extLst>
            <c:ext xmlns:c16="http://schemas.microsoft.com/office/drawing/2014/chart" uri="{C3380CC4-5D6E-409C-BE32-E72D297353CC}">
              <c16:uniqueId val="{0000000C-A228-4C19-A351-75C5D598C25C}"/>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u300kW'!$F$76</c:f>
          <c:strCache>
            <c:ptCount val="1"/>
            <c:pt idx="0">
              <c:v>Top 5 landed species by value in 2019
NSWOS demersal under 24m under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304C-4E44-AB4B-C319E1383E3B}"/>
              </c:ext>
            </c:extLst>
          </c:dPt>
          <c:dPt>
            <c:idx val="1"/>
            <c:bubble3D val="0"/>
            <c:spPr>
              <a:solidFill>
                <a:srgbClr val="E87308"/>
              </a:solidFill>
              <a:ln>
                <a:solidFill>
                  <a:srgbClr val="FFFFFF"/>
                </a:solidFill>
              </a:ln>
            </c:spPr>
            <c:extLst>
              <c:ext xmlns:c16="http://schemas.microsoft.com/office/drawing/2014/chart" uri="{C3380CC4-5D6E-409C-BE32-E72D297353CC}">
                <c16:uniqueId val="{00000003-304C-4E44-AB4B-C319E1383E3B}"/>
              </c:ext>
            </c:extLst>
          </c:dPt>
          <c:dPt>
            <c:idx val="2"/>
            <c:bubble3D val="0"/>
            <c:spPr>
              <a:solidFill>
                <a:srgbClr val="648C2E"/>
              </a:solidFill>
              <a:ln>
                <a:solidFill>
                  <a:srgbClr val="FFFFFF"/>
                </a:solidFill>
              </a:ln>
            </c:spPr>
            <c:extLst>
              <c:ext xmlns:c16="http://schemas.microsoft.com/office/drawing/2014/chart" uri="{C3380CC4-5D6E-409C-BE32-E72D297353CC}">
                <c16:uniqueId val="{00000005-304C-4E44-AB4B-C319E1383E3B}"/>
              </c:ext>
            </c:extLst>
          </c:dPt>
          <c:dPt>
            <c:idx val="3"/>
            <c:bubble3D val="0"/>
            <c:spPr>
              <a:solidFill>
                <a:srgbClr val="C1D119"/>
              </a:solidFill>
              <a:ln>
                <a:solidFill>
                  <a:srgbClr val="FFFFFF"/>
                </a:solidFill>
              </a:ln>
            </c:spPr>
            <c:extLst>
              <c:ext xmlns:c16="http://schemas.microsoft.com/office/drawing/2014/chart" uri="{C3380CC4-5D6E-409C-BE32-E72D297353CC}">
                <c16:uniqueId val="{00000007-304C-4E44-AB4B-C319E1383E3B}"/>
              </c:ext>
            </c:extLst>
          </c:dPt>
          <c:dPt>
            <c:idx val="4"/>
            <c:bubble3D val="0"/>
            <c:spPr>
              <a:solidFill>
                <a:srgbClr val="2273B9"/>
              </a:solidFill>
              <a:ln>
                <a:solidFill>
                  <a:srgbClr val="FFFFFF"/>
                </a:solidFill>
              </a:ln>
            </c:spPr>
            <c:extLst>
              <c:ext xmlns:c16="http://schemas.microsoft.com/office/drawing/2014/chart" uri="{C3380CC4-5D6E-409C-BE32-E72D297353CC}">
                <c16:uniqueId val="{00000009-304C-4E44-AB4B-C319E1383E3B}"/>
              </c:ext>
            </c:extLst>
          </c:dPt>
          <c:dPt>
            <c:idx val="5"/>
            <c:bubble3D val="0"/>
            <c:spPr>
              <a:solidFill>
                <a:srgbClr val="55585A"/>
              </a:solidFill>
              <a:ln>
                <a:solidFill>
                  <a:srgbClr val="FFFFFF"/>
                </a:solidFill>
              </a:ln>
            </c:spPr>
            <c:extLst>
              <c:ext xmlns:c16="http://schemas.microsoft.com/office/drawing/2014/chart" uri="{C3380CC4-5D6E-409C-BE32-E72D297353CC}">
                <c16:uniqueId val="{0000000B-304C-4E44-AB4B-C319E1383E3B}"/>
              </c:ext>
            </c:extLst>
          </c:dPt>
          <c:cat>
            <c:strRef>
              <c:f>'NSWOS demersal u24m u300kW'!$G$77:$G$82</c:f>
              <c:strCache>
                <c:ptCount val="6"/>
                <c:pt idx="0">
                  <c:v>Squid - 24.9%</c:v>
                </c:pt>
                <c:pt idx="1">
                  <c:v>Cod - 14.2%</c:v>
                </c:pt>
                <c:pt idx="2">
                  <c:v>Nephrops - 13.9%</c:v>
                </c:pt>
                <c:pt idx="3">
                  <c:v>Anglerfish - 11.7%</c:v>
                </c:pt>
                <c:pt idx="4">
                  <c:v>Squid - 10.8%</c:v>
                </c:pt>
                <c:pt idx="5">
                  <c:v>Others - 24.5%</c:v>
                </c:pt>
              </c:strCache>
            </c:strRef>
          </c:cat>
          <c:val>
            <c:numRef>
              <c:f>'NSWOS demersal u24m u300kW'!$H$77:$H$82</c:f>
              <c:numCache>
                <c:formatCode>0.0%</c:formatCode>
                <c:ptCount val="6"/>
                <c:pt idx="0">
                  <c:v>0.24852709259840272</c:v>
                </c:pt>
                <c:pt idx="1">
                  <c:v>0.14241587150998428</c:v>
                </c:pt>
                <c:pt idx="2">
                  <c:v>0.13875395918306366</c:v>
                </c:pt>
                <c:pt idx="3">
                  <c:v>0.11662131659022207</c:v>
                </c:pt>
                <c:pt idx="4">
                  <c:v>0.10848358723566021</c:v>
                </c:pt>
                <c:pt idx="5">
                  <c:v>0.2451981728826671</c:v>
                </c:pt>
              </c:numCache>
            </c:numRef>
          </c:val>
          <c:extLst>
            <c:ext xmlns:c16="http://schemas.microsoft.com/office/drawing/2014/chart" uri="{C3380CC4-5D6E-409C-BE32-E72D297353CC}">
              <c16:uniqueId val="{0000000C-304C-4E44-AB4B-C319E1383E3B}"/>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u300kW'!$K$77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demersal u24m u300kW'!$C$92</c:f>
              <c:strCache>
                <c:ptCount val="1"/>
                <c:pt idx="0">
                  <c:v>Squid</c:v>
                </c:pt>
              </c:strCache>
            </c:strRef>
          </c:tx>
          <c:spPr>
            <a:solidFill>
              <a:srgbClr val="2273B9"/>
            </a:solidFill>
            <a:ln>
              <a:solidFill>
                <a:srgbClr val="FFFFFF"/>
              </a:solidFill>
            </a:ln>
          </c:spPr>
          <c:invertIfNegative val="0"/>
          <c:cat>
            <c:numRef>
              <c:f>'NSWOS demersal u24m u300kW'!$D$91:$M$91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u24m u300kW'!$D$92:$M$92</c:f>
              <c:numCache>
                <c:formatCode>0%</c:formatCode>
                <c:ptCount val="10"/>
                <c:pt idx="0">
                  <c:v>8.4638279830116556E-2</c:v>
                </c:pt>
                <c:pt idx="3">
                  <c:v>0.10670897823153228</c:v>
                </c:pt>
                <c:pt idx="4">
                  <c:v>8.3155511487980824E-2</c:v>
                </c:pt>
                <c:pt idx="5">
                  <c:v>0.15484957692255077</c:v>
                </c:pt>
                <c:pt idx="6">
                  <c:v>0.26520750286735245</c:v>
                </c:pt>
                <c:pt idx="7">
                  <c:v>0.2095454859916952</c:v>
                </c:pt>
                <c:pt idx="8">
                  <c:v>0.24852709259840272</c:v>
                </c:pt>
                <c:pt idx="9">
                  <c:v>0.18209924535281313</c:v>
                </c:pt>
              </c:numCache>
            </c:numRef>
          </c:val>
          <c:extLst>
            <c:ext xmlns:c16="http://schemas.microsoft.com/office/drawing/2014/chart" uri="{C3380CC4-5D6E-409C-BE32-E72D297353CC}">
              <c16:uniqueId val="{00000000-E84F-4613-BAA4-5929EF1131CF}"/>
            </c:ext>
          </c:extLst>
        </c:ser>
        <c:ser>
          <c:idx val="1"/>
          <c:order val="1"/>
          <c:tx>
            <c:strRef>
              <c:f>'NSWOS demersal u24m u300kW'!$C$93</c:f>
              <c:strCache>
                <c:ptCount val="1"/>
                <c:pt idx="0">
                  <c:v>Cod</c:v>
                </c:pt>
              </c:strCache>
            </c:strRef>
          </c:tx>
          <c:spPr>
            <a:solidFill>
              <a:srgbClr val="E87308"/>
            </a:solidFill>
            <a:ln>
              <a:solidFill>
                <a:srgbClr val="FFFFFF"/>
              </a:solidFill>
            </a:ln>
          </c:spPr>
          <c:invertIfNegative val="0"/>
          <c:cat>
            <c:numRef>
              <c:f>'NSWOS demersal u24m u300kW'!$D$91:$M$91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u24m u300kW'!$D$93:$M$93</c:f>
              <c:numCache>
                <c:formatCode>0%</c:formatCode>
                <c:ptCount val="10"/>
                <c:pt idx="4">
                  <c:v>9.6503849964573757E-2</c:v>
                </c:pt>
                <c:pt idx="5">
                  <c:v>9.8814309625166907E-2</c:v>
                </c:pt>
                <c:pt idx="6">
                  <c:v>0.11087422945020414</c:v>
                </c:pt>
                <c:pt idx="7">
                  <c:v>0.19057152569603539</c:v>
                </c:pt>
                <c:pt idx="8">
                  <c:v>0.14241587150998428</c:v>
                </c:pt>
                <c:pt idx="9">
                  <c:v>0.1397071295832775</c:v>
                </c:pt>
              </c:numCache>
            </c:numRef>
          </c:val>
          <c:extLst>
            <c:ext xmlns:c16="http://schemas.microsoft.com/office/drawing/2014/chart" uri="{C3380CC4-5D6E-409C-BE32-E72D297353CC}">
              <c16:uniqueId val="{00000001-E84F-4613-BAA4-5929EF1131CF}"/>
            </c:ext>
          </c:extLst>
        </c:ser>
        <c:ser>
          <c:idx val="2"/>
          <c:order val="2"/>
          <c:tx>
            <c:strRef>
              <c:f>'NSWOS demersal u24m u300kW'!$C$94</c:f>
              <c:strCache>
                <c:ptCount val="1"/>
                <c:pt idx="0">
                  <c:v>Nephrops</c:v>
                </c:pt>
              </c:strCache>
            </c:strRef>
          </c:tx>
          <c:spPr>
            <a:solidFill>
              <a:srgbClr val="648C2E"/>
            </a:solidFill>
            <a:ln>
              <a:solidFill>
                <a:srgbClr val="FFFFFF"/>
              </a:solidFill>
            </a:ln>
          </c:spPr>
          <c:invertIfNegative val="0"/>
          <c:cat>
            <c:numRef>
              <c:f>'NSWOS demersal u24m u300kW'!$D$91:$M$91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u24m u300kW'!$D$94:$M$94</c:f>
              <c:numCache>
                <c:formatCode>0%</c:formatCode>
                <c:ptCount val="10"/>
                <c:pt idx="0">
                  <c:v>0.12574486866388263</c:v>
                </c:pt>
                <c:pt idx="1">
                  <c:v>0.14244872158976749</c:v>
                </c:pt>
                <c:pt idx="2">
                  <c:v>0.11290038431559993</c:v>
                </c:pt>
                <c:pt idx="3">
                  <c:v>9.3826731895711266E-2</c:v>
                </c:pt>
                <c:pt idx="4">
                  <c:v>0.19297668254240927</c:v>
                </c:pt>
                <c:pt idx="5">
                  <c:v>0.10651234653732483</c:v>
                </c:pt>
                <c:pt idx="6">
                  <c:v>9.9901284309703325E-2</c:v>
                </c:pt>
                <c:pt idx="7">
                  <c:v>5.7283353349581914E-2</c:v>
                </c:pt>
                <c:pt idx="8">
                  <c:v>0.13875395918306366</c:v>
                </c:pt>
              </c:numCache>
            </c:numRef>
          </c:val>
          <c:extLst>
            <c:ext xmlns:c16="http://schemas.microsoft.com/office/drawing/2014/chart" uri="{C3380CC4-5D6E-409C-BE32-E72D297353CC}">
              <c16:uniqueId val="{00000002-E84F-4613-BAA4-5929EF1131CF}"/>
            </c:ext>
          </c:extLst>
        </c:ser>
        <c:ser>
          <c:idx val="3"/>
          <c:order val="3"/>
          <c:tx>
            <c:strRef>
              <c:f>'NSWOS demersal u24m u300kW'!$C$95</c:f>
              <c:strCache>
                <c:ptCount val="1"/>
                <c:pt idx="0">
                  <c:v>Anglerfish</c:v>
                </c:pt>
              </c:strCache>
            </c:strRef>
          </c:tx>
          <c:spPr>
            <a:solidFill>
              <a:srgbClr val="C1D119"/>
            </a:solidFill>
            <a:ln>
              <a:solidFill>
                <a:srgbClr val="FFFFFF"/>
              </a:solidFill>
            </a:ln>
          </c:spPr>
          <c:invertIfNegative val="0"/>
          <c:cat>
            <c:numRef>
              <c:f>'NSWOS demersal u24m u300kW'!$D$91:$M$91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u24m u300kW'!$D$95:$M$95</c:f>
              <c:numCache>
                <c:formatCode>0%</c:formatCode>
                <c:ptCount val="10"/>
                <c:pt idx="0">
                  <c:v>0.13953129565826553</c:v>
                </c:pt>
                <c:pt idx="1">
                  <c:v>7.8296798796444064E-2</c:v>
                </c:pt>
                <c:pt idx="2">
                  <c:v>7.1301246393641507E-2</c:v>
                </c:pt>
                <c:pt idx="3">
                  <c:v>0.14885821576618885</c:v>
                </c:pt>
                <c:pt idx="4">
                  <c:v>0.17859290264909811</c:v>
                </c:pt>
                <c:pt idx="5">
                  <c:v>0.29369838777206653</c:v>
                </c:pt>
                <c:pt idx="6">
                  <c:v>0.24433622837859051</c:v>
                </c:pt>
                <c:pt idx="7">
                  <c:v>0.18801928809843649</c:v>
                </c:pt>
                <c:pt idx="8">
                  <c:v>0.11662131659022207</c:v>
                </c:pt>
                <c:pt idx="9">
                  <c:v>0.22051984927347931</c:v>
                </c:pt>
              </c:numCache>
            </c:numRef>
          </c:val>
          <c:extLst>
            <c:ext xmlns:c16="http://schemas.microsoft.com/office/drawing/2014/chart" uri="{C3380CC4-5D6E-409C-BE32-E72D297353CC}">
              <c16:uniqueId val="{00000003-E84F-4613-BAA4-5929EF1131CF}"/>
            </c:ext>
          </c:extLst>
        </c:ser>
        <c:ser>
          <c:idx val="4"/>
          <c:order val="4"/>
          <c:tx>
            <c:strRef>
              <c:f>'NSWOS demersal u24m u300kW'!$C$96</c:f>
              <c:strCache>
                <c:ptCount val="1"/>
                <c:pt idx="0">
                  <c:v>Squid</c:v>
                </c:pt>
              </c:strCache>
            </c:strRef>
          </c:tx>
          <c:spPr>
            <a:solidFill>
              <a:srgbClr val="E84A38"/>
            </a:solidFill>
            <a:ln>
              <a:solidFill>
                <a:srgbClr val="FFFFFF"/>
              </a:solidFill>
            </a:ln>
          </c:spPr>
          <c:invertIfNegative val="0"/>
          <c:cat>
            <c:numRef>
              <c:f>'NSWOS demersal u24m u300kW'!$D$91:$M$91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u24m u300kW'!$D$96:$M$96</c:f>
              <c:numCache>
                <c:formatCode>0%</c:formatCode>
                <c:ptCount val="10"/>
                <c:pt idx="8">
                  <c:v>0.10848358723566021</c:v>
                </c:pt>
              </c:numCache>
            </c:numRef>
          </c:val>
          <c:extLst>
            <c:ext xmlns:c16="http://schemas.microsoft.com/office/drawing/2014/chart" uri="{C3380CC4-5D6E-409C-BE32-E72D297353CC}">
              <c16:uniqueId val="{00000004-E84F-4613-BAA4-5929EF1131CF}"/>
            </c:ext>
          </c:extLst>
        </c:ser>
        <c:ser>
          <c:idx val="5"/>
          <c:order val="5"/>
          <c:tx>
            <c:strRef>
              <c:f>'NSWOS demersal u24m u300kW'!$C$97</c:f>
              <c:strCache>
                <c:ptCount val="1"/>
                <c:pt idx="0">
                  <c:v>Haddock</c:v>
                </c:pt>
              </c:strCache>
            </c:strRef>
          </c:tx>
          <c:spPr>
            <a:solidFill>
              <a:srgbClr val="0F9AA9"/>
            </a:solidFill>
            <a:ln>
              <a:solidFill>
                <a:srgbClr val="FFFFFF"/>
              </a:solidFill>
            </a:ln>
          </c:spPr>
          <c:invertIfNegative val="0"/>
          <c:cat>
            <c:numRef>
              <c:f>'NSWOS demersal u24m u300kW'!$D$91:$M$91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u24m u300kW'!$D$97:$M$97</c:f>
              <c:numCache>
                <c:formatCode>0%</c:formatCode>
                <c:ptCount val="10"/>
                <c:pt idx="1">
                  <c:v>0.26421602171389363</c:v>
                </c:pt>
                <c:pt idx="2">
                  <c:v>0.30135345261119478</c:v>
                </c:pt>
                <c:pt idx="3">
                  <c:v>0.11347803515808288</c:v>
                </c:pt>
                <c:pt idx="4">
                  <c:v>0.14809808879881728</c:v>
                </c:pt>
                <c:pt idx="7">
                  <c:v>7.5465663962938495E-2</c:v>
                </c:pt>
                <c:pt idx="9">
                  <c:v>0.11848379067624844</c:v>
                </c:pt>
              </c:numCache>
            </c:numRef>
          </c:val>
          <c:extLst>
            <c:ext xmlns:c16="http://schemas.microsoft.com/office/drawing/2014/chart" uri="{C3380CC4-5D6E-409C-BE32-E72D297353CC}">
              <c16:uniqueId val="{00000005-E84F-4613-BAA4-5929EF1131CF}"/>
            </c:ext>
          </c:extLst>
        </c:ser>
        <c:ser>
          <c:idx val="6"/>
          <c:order val="6"/>
          <c:tx>
            <c:strRef>
              <c:f>'NSWOS demersal u24m u300kW'!$C$98</c:f>
              <c:strCache>
                <c:ptCount val="1"/>
                <c:pt idx="0">
                  <c:v>Megrim</c:v>
                </c:pt>
              </c:strCache>
            </c:strRef>
          </c:tx>
          <c:spPr>
            <a:solidFill>
              <a:srgbClr val="FED825"/>
            </a:solidFill>
            <a:ln>
              <a:solidFill>
                <a:srgbClr val="FFFFFF"/>
              </a:solidFill>
            </a:ln>
          </c:spPr>
          <c:invertIfNegative val="0"/>
          <c:cat>
            <c:numRef>
              <c:f>'NSWOS demersal u24m u300kW'!$D$91:$M$91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u24m u300kW'!$D$98:$M$98</c:f>
              <c:numCache>
                <c:formatCode>0%</c:formatCode>
                <c:ptCount val="10"/>
                <c:pt idx="0">
                  <c:v>0.14036087696105748</c:v>
                </c:pt>
                <c:pt idx="1">
                  <c:v>8.4303618569132183E-2</c:v>
                </c:pt>
                <c:pt idx="3">
                  <c:v>0.11173925024695418</c:v>
                </c:pt>
                <c:pt idx="5">
                  <c:v>0.10467888193926944</c:v>
                </c:pt>
                <c:pt idx="6">
                  <c:v>6.3765185832604265E-2</c:v>
                </c:pt>
                <c:pt idx="9">
                  <c:v>7.1387652579262828E-2</c:v>
                </c:pt>
              </c:numCache>
            </c:numRef>
          </c:val>
          <c:extLst>
            <c:ext xmlns:c16="http://schemas.microsoft.com/office/drawing/2014/chart" uri="{C3380CC4-5D6E-409C-BE32-E72D297353CC}">
              <c16:uniqueId val="{00000006-E84F-4613-BAA4-5929EF1131CF}"/>
            </c:ext>
          </c:extLst>
        </c:ser>
        <c:ser>
          <c:idx val="7"/>
          <c:order val="7"/>
          <c:tx>
            <c:strRef>
              <c:f>'NSWOS demersal u24m u300kW'!$C$99</c:f>
              <c:strCache>
                <c:ptCount val="1"/>
                <c:pt idx="0">
                  <c:v>Plaice</c:v>
                </c:pt>
              </c:strCache>
            </c:strRef>
          </c:tx>
          <c:spPr>
            <a:solidFill>
              <a:srgbClr val="707271"/>
            </a:solidFill>
            <a:ln>
              <a:solidFill>
                <a:srgbClr val="FFFFFF"/>
              </a:solidFill>
            </a:ln>
          </c:spPr>
          <c:invertIfNegative val="0"/>
          <c:cat>
            <c:numRef>
              <c:f>'NSWOS demersal u24m u300kW'!$D$91:$M$91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u24m u300kW'!$D$99:$M$99</c:f>
              <c:numCache>
                <c:formatCode>0%</c:formatCode>
                <c:ptCount val="10"/>
                <c:pt idx="0">
                  <c:v>8.7326175858438826E-2</c:v>
                </c:pt>
                <c:pt idx="1">
                  <c:v>0.10487819437947432</c:v>
                </c:pt>
                <c:pt idx="2">
                  <c:v>8.6329339448131079E-2</c:v>
                </c:pt>
              </c:numCache>
            </c:numRef>
          </c:val>
          <c:extLst>
            <c:ext xmlns:c16="http://schemas.microsoft.com/office/drawing/2014/chart" uri="{C3380CC4-5D6E-409C-BE32-E72D297353CC}">
              <c16:uniqueId val="{00000007-E84F-4613-BAA4-5929EF1131CF}"/>
            </c:ext>
          </c:extLst>
        </c:ser>
        <c:ser>
          <c:idx val="8"/>
          <c:order val="8"/>
          <c:tx>
            <c:strRef>
              <c:f>'NSWOS demersal u24m u300kW'!$C$100</c:f>
              <c:strCache>
                <c:ptCount val="1"/>
                <c:pt idx="0">
                  <c:v>Whiting</c:v>
                </c:pt>
              </c:strCache>
            </c:strRef>
          </c:tx>
          <c:spPr>
            <a:solidFill>
              <a:srgbClr val="51AA81"/>
            </a:solidFill>
            <a:ln>
              <a:solidFill>
                <a:srgbClr val="FFFFFF"/>
              </a:solidFill>
            </a:ln>
          </c:spPr>
          <c:invertIfNegative val="0"/>
          <c:cat>
            <c:numRef>
              <c:f>'NSWOS demersal u24m u300kW'!$D$91:$M$91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u24m u300kW'!$D$100:$M$100</c:f>
              <c:numCache>
                <c:formatCode>0%</c:formatCode>
                <c:ptCount val="10"/>
                <c:pt idx="2">
                  <c:v>5.3575441676922922E-2</c:v>
                </c:pt>
              </c:numCache>
            </c:numRef>
          </c:val>
          <c:extLst>
            <c:ext xmlns:c16="http://schemas.microsoft.com/office/drawing/2014/chart" uri="{C3380CC4-5D6E-409C-BE32-E72D297353CC}">
              <c16:uniqueId val="{00000008-E84F-4613-BAA4-5929EF1131CF}"/>
            </c:ext>
          </c:extLst>
        </c:ser>
        <c:ser>
          <c:idx val="9"/>
          <c:order val="9"/>
          <c:tx>
            <c:strRef>
              <c:f>'NSWOS demersal u24m u300kW'!$C$101</c:f>
              <c:strCache>
                <c:ptCount val="1"/>
                <c:pt idx="0">
                  <c:v>Others</c:v>
                </c:pt>
              </c:strCache>
            </c:strRef>
          </c:tx>
          <c:spPr>
            <a:solidFill>
              <a:srgbClr val="55585A"/>
            </a:solidFill>
            <a:ln>
              <a:solidFill>
                <a:srgbClr val="FFFFFF"/>
              </a:solidFill>
            </a:ln>
          </c:spPr>
          <c:invertIfNegative val="0"/>
          <c:cat>
            <c:numRef>
              <c:f>'NSWOS demersal u24m u300kW'!$D$91:$M$91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u24m u300kW'!$D$101:$M$101</c:f>
              <c:numCache>
                <c:formatCode>0%</c:formatCode>
                <c:ptCount val="10"/>
                <c:pt idx="0">
                  <c:v>0.422398503028239</c:v>
                </c:pt>
                <c:pt idx="1">
                  <c:v>0.3258566449512883</c:v>
                </c:pt>
                <c:pt idx="2">
                  <c:v>0.37454013555450977</c:v>
                </c:pt>
                <c:pt idx="3">
                  <c:v>0.42538878870153057</c:v>
                </c:pt>
                <c:pt idx="4">
                  <c:v>0.30067296455712078</c:v>
                </c:pt>
                <c:pt idx="5">
                  <c:v>0.24144649720362149</c:v>
                </c:pt>
                <c:pt idx="6">
                  <c:v>0.21591556916154531</c:v>
                </c:pt>
                <c:pt idx="7">
                  <c:v>0.27911468290131253</c:v>
                </c:pt>
                <c:pt idx="8">
                  <c:v>0.24519817288266707</c:v>
                </c:pt>
                <c:pt idx="9">
                  <c:v>0.26780233253491875</c:v>
                </c:pt>
              </c:numCache>
            </c:numRef>
          </c:val>
          <c:extLst>
            <c:ext xmlns:c16="http://schemas.microsoft.com/office/drawing/2014/chart" uri="{C3380CC4-5D6E-409C-BE32-E72D297353CC}">
              <c16:uniqueId val="{00000009-E84F-4613-BAA4-5929EF1131CF}"/>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'NSWOS demersal u24m u300kW'!$B$162</c:f>
              <c:strCache>
                <c:ptCount val="1"/>
                <c:pt idx="0">
                  <c:v>Nephrops</c:v>
                </c:pt>
              </c:strCache>
            </c:strRef>
          </c:tx>
          <c:spPr>
            <a:solidFill>
              <a:srgbClr val="648C2E"/>
            </a:solidFill>
            <a:ln>
              <a:solidFill>
                <a:srgbClr val="FFFFFF"/>
              </a:solidFill>
            </a:ln>
          </c:spPr>
          <c:invertIfNegative val="0"/>
          <c:cat>
            <c:strRef>
              <c:f>'NSWOS demersal u24m u300kW'!$C$161:$E$161</c:f>
              <c:strCache>
                <c:ptCount val="3"/>
                <c:pt idx="0">
                  <c:v>Most
profitable
quartile</c:v>
                </c:pt>
                <c:pt idx="1">
                  <c:v>Middle 
two quartiles</c:v>
                </c:pt>
                <c:pt idx="2">
                  <c:v>Least
profitable
quartile</c:v>
                </c:pt>
              </c:strCache>
            </c:strRef>
          </c:cat>
          <c:val>
            <c:numRef>
              <c:f>'NSWOS demersal u24m u300kW'!$C$162:$E$162</c:f>
              <c:numCache>
                <c:formatCode>0%</c:formatCode>
                <c:ptCount val="3"/>
                <c:pt idx="0">
                  <c:v>0</c:v>
                </c:pt>
                <c:pt idx="1">
                  <c:v>0.20744967737584022</c:v>
                </c:pt>
                <c:pt idx="2">
                  <c:v>0.36577865922205577</c:v>
                </c:pt>
              </c:numCache>
            </c:numRef>
          </c:val>
          <c:extLst>
            <c:ext xmlns:c16="http://schemas.microsoft.com/office/drawing/2014/chart" uri="{C3380CC4-5D6E-409C-BE32-E72D297353CC}">
              <c16:uniqueId val="{00000000-9728-4F4A-9272-6F105BFC982D}"/>
            </c:ext>
          </c:extLst>
        </c:ser>
        <c:ser>
          <c:idx val="1"/>
          <c:order val="1"/>
          <c:tx>
            <c:strRef>
              <c:f>'NSWOS demersal u24m u300kW'!$B$163</c:f>
              <c:strCache>
                <c:ptCount val="1"/>
                <c:pt idx="0">
                  <c:v>Squid</c:v>
                </c:pt>
              </c:strCache>
            </c:strRef>
          </c:tx>
          <c:spPr>
            <a:solidFill>
              <a:srgbClr val="2273B9"/>
            </a:solidFill>
            <a:ln>
              <a:solidFill>
                <a:srgbClr val="FFFFFF"/>
              </a:solidFill>
            </a:ln>
          </c:spPr>
          <c:invertIfNegative val="0"/>
          <c:cat>
            <c:strRef>
              <c:f>'NSWOS demersal u24m u300kW'!$C$161:$E$161</c:f>
              <c:strCache>
                <c:ptCount val="3"/>
                <c:pt idx="0">
                  <c:v>Most
profitable
quartile</c:v>
                </c:pt>
                <c:pt idx="1">
                  <c:v>Middle 
two quartiles</c:v>
                </c:pt>
                <c:pt idx="2">
                  <c:v>Least
profitable
quartile</c:v>
                </c:pt>
              </c:strCache>
            </c:strRef>
          </c:cat>
          <c:val>
            <c:numRef>
              <c:f>'NSWOS demersal u24m u300kW'!$C$163:$E$163</c:f>
              <c:numCache>
                <c:formatCode>0%</c:formatCode>
                <c:ptCount val="3"/>
                <c:pt idx="0">
                  <c:v>0.13744005961025127</c:v>
                </c:pt>
                <c:pt idx="1">
                  <c:v>0.25334559923840272</c:v>
                </c:pt>
                <c:pt idx="2">
                  <c:v>0.31644329128776971</c:v>
                </c:pt>
              </c:numCache>
            </c:numRef>
          </c:val>
          <c:extLst>
            <c:ext xmlns:c16="http://schemas.microsoft.com/office/drawing/2014/chart" uri="{C3380CC4-5D6E-409C-BE32-E72D297353CC}">
              <c16:uniqueId val="{00000001-9728-4F4A-9272-6F105BFC982D}"/>
            </c:ext>
          </c:extLst>
        </c:ser>
        <c:ser>
          <c:idx val="2"/>
          <c:order val="2"/>
          <c:tx>
            <c:strRef>
              <c:f>'NSWOS demersal u24m u300kW'!$B$164</c:f>
              <c:strCache>
                <c:ptCount val="1"/>
                <c:pt idx="0">
                  <c:v>Anglerfish</c:v>
                </c:pt>
              </c:strCache>
            </c:strRef>
          </c:tx>
          <c:spPr>
            <a:solidFill>
              <a:srgbClr val="C1D119"/>
            </a:solidFill>
            <a:ln>
              <a:solidFill>
                <a:srgbClr val="FFFFFF"/>
              </a:solidFill>
            </a:ln>
          </c:spPr>
          <c:invertIfNegative val="0"/>
          <c:cat>
            <c:strRef>
              <c:f>'NSWOS demersal u24m u300kW'!$C$161:$E$161</c:f>
              <c:strCache>
                <c:ptCount val="3"/>
                <c:pt idx="0">
                  <c:v>Most
profitable
quartile</c:v>
                </c:pt>
                <c:pt idx="1">
                  <c:v>Middle 
two quartiles</c:v>
                </c:pt>
                <c:pt idx="2">
                  <c:v>Least
profitable
quartile</c:v>
                </c:pt>
              </c:strCache>
            </c:strRef>
          </c:cat>
          <c:val>
            <c:numRef>
              <c:f>'NSWOS demersal u24m u300kW'!$C$164:$E$164</c:f>
              <c:numCache>
                <c:formatCode>0%</c:formatCode>
                <c:ptCount val="3"/>
                <c:pt idx="0">
                  <c:v>0.11325000502120988</c:v>
                </c:pt>
                <c:pt idx="1">
                  <c:v>0.11667250241572978</c:v>
                </c:pt>
                <c:pt idx="2">
                  <c:v>3.1015195766659107E-2</c:v>
                </c:pt>
              </c:numCache>
            </c:numRef>
          </c:val>
          <c:extLst>
            <c:ext xmlns:c16="http://schemas.microsoft.com/office/drawing/2014/chart" uri="{C3380CC4-5D6E-409C-BE32-E72D297353CC}">
              <c16:uniqueId val="{00000002-9728-4F4A-9272-6F105BFC982D}"/>
            </c:ext>
          </c:extLst>
        </c:ser>
        <c:ser>
          <c:idx val="3"/>
          <c:order val="3"/>
          <c:tx>
            <c:strRef>
              <c:f>'NSWOS demersal u24m u300kW'!$B$165</c:f>
              <c:strCache>
                <c:ptCount val="1"/>
                <c:pt idx="0">
                  <c:v>Cod</c:v>
                </c:pt>
              </c:strCache>
            </c:strRef>
          </c:tx>
          <c:spPr>
            <a:solidFill>
              <a:srgbClr val="E87308"/>
            </a:solidFill>
            <a:ln>
              <a:solidFill>
                <a:srgbClr val="FFFFFF"/>
              </a:solidFill>
            </a:ln>
          </c:spPr>
          <c:invertIfNegative val="0"/>
          <c:cat>
            <c:strRef>
              <c:f>'NSWOS demersal u24m u300kW'!$C$161:$E$161</c:f>
              <c:strCache>
                <c:ptCount val="3"/>
                <c:pt idx="0">
                  <c:v>Most
profitable
quartile</c:v>
                </c:pt>
                <c:pt idx="1">
                  <c:v>Middle 
two quartiles</c:v>
                </c:pt>
                <c:pt idx="2">
                  <c:v>Least
profitable
quartile</c:v>
                </c:pt>
              </c:strCache>
            </c:strRef>
          </c:cat>
          <c:val>
            <c:numRef>
              <c:f>'NSWOS demersal u24m u300kW'!$C$165:$E$165</c:f>
              <c:numCache>
                <c:formatCode>0%</c:formatCode>
                <c:ptCount val="3"/>
                <c:pt idx="0">
                  <c:v>0.18625275693530965</c:v>
                </c:pt>
                <c:pt idx="1">
                  <c:v>0.10521225428484003</c:v>
                </c:pt>
                <c:pt idx="2">
                  <c:v>0</c:v>
                </c:pt>
              </c:numCache>
            </c:numRef>
          </c:val>
          <c:extLst>
            <c:ext xmlns:c16="http://schemas.microsoft.com/office/drawing/2014/chart" uri="{C3380CC4-5D6E-409C-BE32-E72D297353CC}">
              <c16:uniqueId val="{00000003-9728-4F4A-9272-6F105BFC982D}"/>
            </c:ext>
          </c:extLst>
        </c:ser>
        <c:ser>
          <c:idx val="4"/>
          <c:order val="4"/>
          <c:tx>
            <c:strRef>
              <c:f>'NSWOS demersal u24m u300kW'!$B$166</c:f>
              <c:strCache>
                <c:ptCount val="1"/>
                <c:pt idx="0">
                  <c:v>Thornback Ray</c:v>
                </c:pt>
              </c:strCache>
            </c:strRef>
          </c:tx>
          <c:spPr>
            <a:solidFill>
              <a:srgbClr val="0F9AA9"/>
            </a:solidFill>
            <a:ln>
              <a:solidFill>
                <a:srgbClr val="FFFFFF"/>
              </a:solidFill>
            </a:ln>
          </c:spPr>
          <c:invertIfNegative val="0"/>
          <c:cat>
            <c:strRef>
              <c:f>'NSWOS demersal u24m u300kW'!$C$161:$E$161</c:f>
              <c:strCache>
                <c:ptCount val="3"/>
                <c:pt idx="0">
                  <c:v>Most
profitable
quartile</c:v>
                </c:pt>
                <c:pt idx="1">
                  <c:v>Middle 
two quartiles</c:v>
                </c:pt>
                <c:pt idx="2">
                  <c:v>Least
profitable
quartile</c:v>
                </c:pt>
              </c:strCache>
            </c:strRef>
          </c:cat>
          <c:val>
            <c:numRef>
              <c:f>'NSWOS demersal u24m u300kW'!$C$166:$E$166</c:f>
              <c:numCache>
                <c:formatCode>0%</c:formatCode>
                <c:ptCount val="3"/>
                <c:pt idx="0">
                  <c:v>0</c:v>
                </c:pt>
                <c:pt idx="1">
                  <c:v>0</c:v>
                </c:pt>
                <c:pt idx="2">
                  <c:v>0.1152857921356166</c:v>
                </c:pt>
              </c:numCache>
            </c:numRef>
          </c:val>
          <c:extLst>
            <c:ext xmlns:c16="http://schemas.microsoft.com/office/drawing/2014/chart" uri="{C3380CC4-5D6E-409C-BE32-E72D297353CC}">
              <c16:uniqueId val="{00000004-9728-4F4A-9272-6F105BFC982D}"/>
            </c:ext>
          </c:extLst>
        </c:ser>
        <c:ser>
          <c:idx val="5"/>
          <c:order val="5"/>
          <c:tx>
            <c:strRef>
              <c:f>'NSWOS demersal u24m u300kW'!$B$167</c:f>
              <c:strCache>
                <c:ptCount val="1"/>
                <c:pt idx="0">
                  <c:v>Sole</c:v>
                </c:pt>
              </c:strCache>
            </c:strRef>
          </c:tx>
          <c:spPr>
            <a:solidFill>
              <a:srgbClr val="FED825"/>
            </a:solidFill>
            <a:ln>
              <a:solidFill>
                <a:srgbClr val="FFFFFF"/>
              </a:solidFill>
            </a:ln>
          </c:spPr>
          <c:invertIfNegative val="0"/>
          <c:cat>
            <c:strRef>
              <c:f>'NSWOS demersal u24m u300kW'!$C$161:$E$161</c:f>
              <c:strCache>
                <c:ptCount val="3"/>
                <c:pt idx="0">
                  <c:v>Most
profitable
quartile</c:v>
                </c:pt>
                <c:pt idx="1">
                  <c:v>Middle 
two quartiles</c:v>
                </c:pt>
                <c:pt idx="2">
                  <c:v>Least
profitable
quartile</c:v>
                </c:pt>
              </c:strCache>
            </c:strRef>
          </c:cat>
          <c:val>
            <c:numRef>
              <c:f>'NSWOS demersal u24m u300kW'!$C$167:$E$167</c:f>
              <c:numCache>
                <c:formatCode>0%</c:formatCode>
                <c:ptCount val="3"/>
                <c:pt idx="0">
                  <c:v>0</c:v>
                </c:pt>
                <c:pt idx="1">
                  <c:v>0</c:v>
                </c:pt>
                <c:pt idx="2">
                  <c:v>7.5941050702575313E-2</c:v>
                </c:pt>
              </c:numCache>
            </c:numRef>
          </c:val>
          <c:extLst>
            <c:ext xmlns:c16="http://schemas.microsoft.com/office/drawing/2014/chart" uri="{C3380CC4-5D6E-409C-BE32-E72D297353CC}">
              <c16:uniqueId val="{00000005-9728-4F4A-9272-6F105BFC982D}"/>
            </c:ext>
          </c:extLst>
        </c:ser>
        <c:ser>
          <c:idx val="6"/>
          <c:order val="6"/>
          <c:tx>
            <c:strRef>
              <c:f>'NSWOS demersal u24m u300kW'!$B$168</c:f>
              <c:strCache>
                <c:ptCount val="1"/>
                <c:pt idx="0">
                  <c:v>Haddock</c:v>
                </c:pt>
              </c:strCache>
            </c:strRef>
          </c:tx>
          <c:spPr>
            <a:solidFill>
              <a:srgbClr val="E84A38"/>
            </a:solidFill>
            <a:ln>
              <a:solidFill>
                <a:srgbClr val="FFFFFF"/>
              </a:solidFill>
            </a:ln>
          </c:spPr>
          <c:invertIfNegative val="0"/>
          <c:cat>
            <c:strRef>
              <c:f>'NSWOS demersal u24m u300kW'!$C$161:$E$161</c:f>
              <c:strCache>
                <c:ptCount val="3"/>
                <c:pt idx="0">
                  <c:v>Most
profitable
quartile</c:v>
                </c:pt>
                <c:pt idx="1">
                  <c:v>Middle 
two quartiles</c:v>
                </c:pt>
                <c:pt idx="2">
                  <c:v>Least
profitable
quartile</c:v>
                </c:pt>
              </c:strCache>
            </c:strRef>
          </c:cat>
          <c:val>
            <c:numRef>
              <c:f>'NSWOS demersal u24m u300kW'!$C$168:$E$168</c:f>
              <c:numCache>
                <c:formatCode>0%</c:formatCode>
                <c:ptCount val="3"/>
                <c:pt idx="0">
                  <c:v>0.18059910505059973</c:v>
                </c:pt>
                <c:pt idx="1">
                  <c:v>0</c:v>
                </c:pt>
                <c:pt idx="2">
                  <c:v>0</c:v>
                </c:pt>
              </c:numCache>
            </c:numRef>
          </c:val>
          <c:extLst>
            <c:ext xmlns:c16="http://schemas.microsoft.com/office/drawing/2014/chart" uri="{C3380CC4-5D6E-409C-BE32-E72D297353CC}">
              <c16:uniqueId val="{00000006-9728-4F4A-9272-6F105BFC982D}"/>
            </c:ext>
          </c:extLst>
        </c:ser>
        <c:ser>
          <c:idx val="7"/>
          <c:order val="7"/>
          <c:tx>
            <c:strRef>
              <c:f>'NSWOS demersal u24m u300kW'!$B$169</c:f>
              <c:strCache>
                <c:ptCount val="1"/>
                <c:pt idx="0">
                  <c:v>Saithe</c:v>
                </c:pt>
              </c:strCache>
            </c:strRef>
          </c:tx>
          <c:spPr>
            <a:solidFill>
              <a:srgbClr val="707271"/>
            </a:solidFill>
            <a:ln>
              <a:solidFill>
                <a:srgbClr val="FFFFFF"/>
              </a:solidFill>
            </a:ln>
          </c:spPr>
          <c:invertIfNegative val="0"/>
          <c:cat>
            <c:strRef>
              <c:f>'NSWOS demersal u24m u300kW'!$C$161:$E$161</c:f>
              <c:strCache>
                <c:ptCount val="3"/>
                <c:pt idx="0">
                  <c:v>Most
profitable
quartile</c:v>
                </c:pt>
                <c:pt idx="1">
                  <c:v>Middle 
two quartiles</c:v>
                </c:pt>
                <c:pt idx="2">
                  <c:v>Least
profitable
quartile</c:v>
                </c:pt>
              </c:strCache>
            </c:strRef>
          </c:cat>
          <c:val>
            <c:numRef>
              <c:f>'NSWOS demersal u24m u300kW'!$C$169:$E$169</c:f>
              <c:numCache>
                <c:formatCode>0%</c:formatCode>
                <c:ptCount val="3"/>
                <c:pt idx="0">
                  <c:v>5.6900653591727218E-2</c:v>
                </c:pt>
                <c:pt idx="1">
                  <c:v>0</c:v>
                </c:pt>
                <c:pt idx="2">
                  <c:v>0</c:v>
                </c:pt>
              </c:numCache>
            </c:numRef>
          </c:val>
          <c:extLst>
            <c:ext xmlns:c16="http://schemas.microsoft.com/office/drawing/2014/chart" uri="{C3380CC4-5D6E-409C-BE32-E72D297353CC}">
              <c16:uniqueId val="{00000007-9728-4F4A-9272-6F105BFC982D}"/>
            </c:ext>
          </c:extLst>
        </c:ser>
        <c:ser>
          <c:idx val="8"/>
          <c:order val="8"/>
          <c:tx>
            <c:strRef>
              <c:f>'NSWOS demersal u24m u300kW'!$B$170</c:f>
              <c:strCache>
                <c:ptCount val="1"/>
                <c:pt idx="0">
                  <c:v>Others</c:v>
                </c:pt>
              </c:strCache>
            </c:strRef>
          </c:tx>
          <c:spPr>
            <a:solidFill>
              <a:srgbClr val="55585A"/>
            </a:solidFill>
            <a:ln>
              <a:solidFill>
                <a:srgbClr val="FFFFFF"/>
              </a:solidFill>
            </a:ln>
          </c:spPr>
          <c:invertIfNegative val="0"/>
          <c:cat>
            <c:strRef>
              <c:f>'NSWOS demersal u24m u300kW'!$C$161:$E$161</c:f>
              <c:strCache>
                <c:ptCount val="3"/>
                <c:pt idx="0">
                  <c:v>Most
profitable
quartile</c:v>
                </c:pt>
                <c:pt idx="1">
                  <c:v>Middle 
two quartiles</c:v>
                </c:pt>
                <c:pt idx="2">
                  <c:v>Least
profitable
quartile</c:v>
                </c:pt>
              </c:strCache>
            </c:strRef>
          </c:cat>
          <c:val>
            <c:numRef>
              <c:f>'NSWOS demersal u24m u300kW'!$C$170:$E$170</c:f>
              <c:numCache>
                <c:formatCode>0%</c:formatCode>
                <c:ptCount val="3"/>
                <c:pt idx="0">
                  <c:v>0.32555741979090225</c:v>
                </c:pt>
                <c:pt idx="1">
                  <c:v>6.397436744678453E-2</c:v>
                </c:pt>
                <c:pt idx="2">
                  <c:v>9.5536010885323486E-2</c:v>
                </c:pt>
              </c:numCache>
            </c:numRef>
          </c:val>
          <c:extLst>
            <c:ext xmlns:c16="http://schemas.microsoft.com/office/drawing/2014/chart" uri="{C3380CC4-5D6E-409C-BE32-E72D297353CC}">
              <c16:uniqueId val="{00000008-9728-4F4A-9272-6F105BFC982D}"/>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'NSWOS demersal u24m u300kW'!$H$162</c:f>
              <c:strCache>
                <c:ptCount val="1"/>
                <c:pt idx="0">
                  <c:v>Squid</c:v>
                </c:pt>
              </c:strCache>
            </c:strRef>
          </c:tx>
          <c:spPr>
            <a:solidFill>
              <a:srgbClr val="2273B9"/>
            </a:solidFill>
            <a:ln>
              <a:solidFill>
                <a:srgbClr val="FFFFFF"/>
              </a:solidFill>
            </a:ln>
          </c:spPr>
          <c:invertIfNegative val="0"/>
          <c:cat>
            <c:strRef>
              <c:f>'NSWOS demersal u24m u300kW'!$I$161:$K$161</c:f>
              <c:strCache>
                <c:ptCount val="3"/>
                <c:pt idx="0">
                  <c:v>Most
profitable
quartile</c:v>
                </c:pt>
                <c:pt idx="1">
                  <c:v>Middle 
two quartiles</c:v>
                </c:pt>
                <c:pt idx="2">
                  <c:v>Least
profitable
quartile</c:v>
                </c:pt>
              </c:strCache>
            </c:strRef>
          </c:cat>
          <c:val>
            <c:numRef>
              <c:f>'NSWOS demersal u24m u300kW'!$I$162:$K$162</c:f>
              <c:numCache>
                <c:formatCode>0%</c:formatCode>
                <c:ptCount val="3"/>
                <c:pt idx="0">
                  <c:v>0.24607584982299352</c:v>
                </c:pt>
                <c:pt idx="1">
                  <c:v>0.44447479254927641</c:v>
                </c:pt>
                <c:pt idx="2">
                  <c:v>0.42076011926739204</c:v>
                </c:pt>
              </c:numCache>
            </c:numRef>
          </c:val>
          <c:extLst>
            <c:ext xmlns:c16="http://schemas.microsoft.com/office/drawing/2014/chart" uri="{C3380CC4-5D6E-409C-BE32-E72D297353CC}">
              <c16:uniqueId val="{00000000-40AD-4537-A721-23983A8D6785}"/>
            </c:ext>
          </c:extLst>
        </c:ser>
        <c:ser>
          <c:idx val="1"/>
          <c:order val="1"/>
          <c:tx>
            <c:strRef>
              <c:f>'NSWOS demersal u24m u300kW'!$H$163</c:f>
              <c:strCache>
                <c:ptCount val="1"/>
                <c:pt idx="0">
                  <c:v>Nephrops</c:v>
                </c:pt>
              </c:strCache>
            </c:strRef>
          </c:tx>
          <c:spPr>
            <a:solidFill>
              <a:srgbClr val="648C2E"/>
            </a:solidFill>
            <a:ln>
              <a:solidFill>
                <a:srgbClr val="FFFFFF"/>
              </a:solidFill>
            </a:ln>
          </c:spPr>
          <c:invertIfNegative val="0"/>
          <c:cat>
            <c:strRef>
              <c:f>'NSWOS demersal u24m u300kW'!$I$161:$K$161</c:f>
              <c:strCache>
                <c:ptCount val="3"/>
                <c:pt idx="0">
                  <c:v>Most
profitable
quartile</c:v>
                </c:pt>
                <c:pt idx="1">
                  <c:v>Middle 
two quartiles</c:v>
                </c:pt>
                <c:pt idx="2">
                  <c:v>Least
profitable
quartile</c:v>
                </c:pt>
              </c:strCache>
            </c:strRef>
          </c:cat>
          <c:val>
            <c:numRef>
              <c:f>'NSWOS demersal u24m u300kW'!$I$163:$K$163</c:f>
              <c:numCache>
                <c:formatCode>0%</c:formatCode>
                <c:ptCount val="3"/>
                <c:pt idx="0">
                  <c:v>7.6560452539330942E-2</c:v>
                </c:pt>
                <c:pt idx="1">
                  <c:v>0.21129845888103782</c:v>
                </c:pt>
                <c:pt idx="2">
                  <c:v>0.31203875012242782</c:v>
                </c:pt>
              </c:numCache>
            </c:numRef>
          </c:val>
          <c:extLst>
            <c:ext xmlns:c16="http://schemas.microsoft.com/office/drawing/2014/chart" uri="{C3380CC4-5D6E-409C-BE32-E72D297353CC}">
              <c16:uniqueId val="{00000001-40AD-4537-A721-23983A8D6785}"/>
            </c:ext>
          </c:extLst>
        </c:ser>
        <c:ser>
          <c:idx val="2"/>
          <c:order val="2"/>
          <c:tx>
            <c:strRef>
              <c:f>'NSWOS demersal u24m u300kW'!$H$164</c:f>
              <c:strCache>
                <c:ptCount val="1"/>
                <c:pt idx="0">
                  <c:v>Anglerfish</c:v>
                </c:pt>
              </c:strCache>
            </c:strRef>
          </c:tx>
          <c:spPr>
            <a:solidFill>
              <a:srgbClr val="C1D119"/>
            </a:solidFill>
            <a:ln>
              <a:solidFill>
                <a:srgbClr val="FFFFFF"/>
              </a:solidFill>
            </a:ln>
          </c:spPr>
          <c:invertIfNegative val="0"/>
          <c:cat>
            <c:strRef>
              <c:f>'NSWOS demersal u24m u300kW'!$I$161:$K$161</c:f>
              <c:strCache>
                <c:ptCount val="3"/>
                <c:pt idx="0">
                  <c:v>Most
profitable
quartile</c:v>
                </c:pt>
                <c:pt idx="1">
                  <c:v>Middle 
two quartiles</c:v>
                </c:pt>
                <c:pt idx="2">
                  <c:v>Least
profitable
quartile</c:v>
                </c:pt>
              </c:strCache>
            </c:strRef>
          </c:cat>
          <c:val>
            <c:numRef>
              <c:f>'NSWOS demersal u24m u300kW'!$I$164:$K$164</c:f>
              <c:numCache>
                <c:formatCode>0%</c:formatCode>
                <c:ptCount val="3"/>
                <c:pt idx="0">
                  <c:v>0.1324030558597229</c:v>
                </c:pt>
                <c:pt idx="1">
                  <c:v>0.11548775611352054</c:v>
                </c:pt>
                <c:pt idx="2">
                  <c:v>2.4994783145453645E-2</c:v>
                </c:pt>
              </c:numCache>
            </c:numRef>
          </c:val>
          <c:extLst>
            <c:ext xmlns:c16="http://schemas.microsoft.com/office/drawing/2014/chart" uri="{C3380CC4-5D6E-409C-BE32-E72D297353CC}">
              <c16:uniqueId val="{00000002-40AD-4537-A721-23983A8D6785}"/>
            </c:ext>
          </c:extLst>
        </c:ser>
        <c:ser>
          <c:idx val="3"/>
          <c:order val="3"/>
          <c:tx>
            <c:strRef>
              <c:f>'NSWOS demersal u24m u300kW'!$H$165</c:f>
              <c:strCache>
                <c:ptCount val="1"/>
                <c:pt idx="0">
                  <c:v>Cod</c:v>
                </c:pt>
              </c:strCache>
            </c:strRef>
          </c:tx>
          <c:spPr>
            <a:solidFill>
              <a:srgbClr val="E87308"/>
            </a:solidFill>
            <a:ln>
              <a:solidFill>
                <a:srgbClr val="FFFFFF"/>
              </a:solidFill>
            </a:ln>
          </c:spPr>
          <c:invertIfNegative val="0"/>
          <c:cat>
            <c:strRef>
              <c:f>'NSWOS demersal u24m u300kW'!$I$161:$K$161</c:f>
              <c:strCache>
                <c:ptCount val="3"/>
                <c:pt idx="0">
                  <c:v>Most
profitable
quartile</c:v>
                </c:pt>
                <c:pt idx="1">
                  <c:v>Middle 
two quartiles</c:v>
                </c:pt>
                <c:pt idx="2">
                  <c:v>Least
profitable
quartile</c:v>
                </c:pt>
              </c:strCache>
            </c:strRef>
          </c:cat>
          <c:val>
            <c:numRef>
              <c:f>'NSWOS demersal u24m u300kW'!$I$165:$K$165</c:f>
              <c:numCache>
                <c:formatCode>0%</c:formatCode>
                <c:ptCount val="3"/>
                <c:pt idx="0">
                  <c:v>0.19176523627833891</c:v>
                </c:pt>
                <c:pt idx="1">
                  <c:v>9.4343386468012755E-2</c:v>
                </c:pt>
                <c:pt idx="2">
                  <c:v>0</c:v>
                </c:pt>
              </c:numCache>
            </c:numRef>
          </c:val>
          <c:extLst>
            <c:ext xmlns:c16="http://schemas.microsoft.com/office/drawing/2014/chart" uri="{C3380CC4-5D6E-409C-BE32-E72D297353CC}">
              <c16:uniqueId val="{00000003-40AD-4537-A721-23983A8D6785}"/>
            </c:ext>
          </c:extLst>
        </c:ser>
        <c:ser>
          <c:idx val="4"/>
          <c:order val="4"/>
          <c:tx>
            <c:strRef>
              <c:f>'NSWOS demersal u24m u300kW'!$H$166</c:f>
              <c:strCache>
                <c:ptCount val="1"/>
                <c:pt idx="0">
                  <c:v>Sole</c:v>
                </c:pt>
              </c:strCache>
            </c:strRef>
          </c:tx>
          <c:spPr>
            <a:solidFill>
              <a:srgbClr val="FED825"/>
            </a:solidFill>
            <a:ln>
              <a:solidFill>
                <a:srgbClr val="FFFFFF"/>
              </a:solidFill>
            </a:ln>
          </c:spPr>
          <c:invertIfNegative val="0"/>
          <c:cat>
            <c:strRef>
              <c:f>'NSWOS demersal u24m u300kW'!$I$161:$K$161</c:f>
              <c:strCache>
                <c:ptCount val="3"/>
                <c:pt idx="0">
                  <c:v>Most
profitable
quartile</c:v>
                </c:pt>
                <c:pt idx="1">
                  <c:v>Middle 
two quartiles</c:v>
                </c:pt>
                <c:pt idx="2">
                  <c:v>Least
profitable
quartile</c:v>
                </c:pt>
              </c:strCache>
            </c:strRef>
          </c:cat>
          <c:val>
            <c:numRef>
              <c:f>'NSWOS demersal u24m u300kW'!$I$166:$K$166</c:f>
              <c:numCache>
                <c:formatCode>0%</c:formatCode>
                <c:ptCount val="3"/>
                <c:pt idx="0">
                  <c:v>0</c:v>
                </c:pt>
                <c:pt idx="1">
                  <c:v>0</c:v>
                </c:pt>
                <c:pt idx="2">
                  <c:v>0.14965590637126031</c:v>
                </c:pt>
              </c:numCache>
            </c:numRef>
          </c:val>
          <c:extLst>
            <c:ext xmlns:c16="http://schemas.microsoft.com/office/drawing/2014/chart" uri="{C3380CC4-5D6E-409C-BE32-E72D297353CC}">
              <c16:uniqueId val="{00000004-40AD-4537-A721-23983A8D6785}"/>
            </c:ext>
          </c:extLst>
        </c:ser>
        <c:ser>
          <c:idx val="5"/>
          <c:order val="5"/>
          <c:tx>
            <c:strRef>
              <c:f>'NSWOS demersal u24m u300kW'!$H$167</c:f>
              <c:strCache>
                <c:ptCount val="1"/>
                <c:pt idx="0">
                  <c:v>Thornback Ray</c:v>
                </c:pt>
              </c:strCache>
            </c:strRef>
          </c:tx>
          <c:spPr>
            <a:solidFill>
              <a:srgbClr val="0F9AA9"/>
            </a:solidFill>
            <a:ln>
              <a:solidFill>
                <a:srgbClr val="FFFFFF"/>
              </a:solidFill>
            </a:ln>
          </c:spPr>
          <c:invertIfNegative val="0"/>
          <c:cat>
            <c:strRef>
              <c:f>'NSWOS demersal u24m u300kW'!$I$161:$K$161</c:f>
              <c:strCache>
                <c:ptCount val="3"/>
                <c:pt idx="0">
                  <c:v>Most
profitable
quartile</c:v>
                </c:pt>
                <c:pt idx="1">
                  <c:v>Middle 
two quartiles</c:v>
                </c:pt>
                <c:pt idx="2">
                  <c:v>Least
profitable
quartile</c:v>
                </c:pt>
              </c:strCache>
            </c:strRef>
          </c:cat>
          <c:val>
            <c:numRef>
              <c:f>'NSWOS demersal u24m u300kW'!$I$167:$K$167</c:f>
              <c:numCache>
                <c:formatCode>0%</c:formatCode>
                <c:ptCount val="3"/>
                <c:pt idx="0">
                  <c:v>0</c:v>
                </c:pt>
                <c:pt idx="1">
                  <c:v>0</c:v>
                </c:pt>
                <c:pt idx="2">
                  <c:v>3.9727171970076122E-2</c:v>
                </c:pt>
              </c:numCache>
            </c:numRef>
          </c:val>
          <c:extLst>
            <c:ext xmlns:c16="http://schemas.microsoft.com/office/drawing/2014/chart" uri="{C3380CC4-5D6E-409C-BE32-E72D297353CC}">
              <c16:uniqueId val="{00000005-40AD-4537-A721-23983A8D6785}"/>
            </c:ext>
          </c:extLst>
        </c:ser>
        <c:ser>
          <c:idx val="6"/>
          <c:order val="6"/>
          <c:tx>
            <c:strRef>
              <c:f>'NSWOS demersal u24m u300kW'!$H$168</c:f>
              <c:strCache>
                <c:ptCount val="1"/>
                <c:pt idx="0">
                  <c:v>Haddock</c:v>
                </c:pt>
              </c:strCache>
            </c:strRef>
          </c:tx>
          <c:spPr>
            <a:solidFill>
              <a:srgbClr val="E84A38"/>
            </a:solidFill>
            <a:ln>
              <a:solidFill>
                <a:srgbClr val="FFFFFF"/>
              </a:solidFill>
            </a:ln>
          </c:spPr>
          <c:invertIfNegative val="0"/>
          <c:cat>
            <c:strRef>
              <c:f>'NSWOS demersal u24m u300kW'!$I$161:$K$161</c:f>
              <c:strCache>
                <c:ptCount val="3"/>
                <c:pt idx="0">
                  <c:v>Most
profitable
quartile</c:v>
                </c:pt>
                <c:pt idx="1">
                  <c:v>Middle 
two quartiles</c:v>
                </c:pt>
                <c:pt idx="2">
                  <c:v>Least
profitable
quartile</c:v>
                </c:pt>
              </c:strCache>
            </c:strRef>
          </c:cat>
          <c:val>
            <c:numRef>
              <c:f>'NSWOS demersal u24m u300kW'!$I$168:$K$168</c:f>
              <c:numCache>
                <c:formatCode>0%</c:formatCode>
                <c:ptCount val="3"/>
                <c:pt idx="0">
                  <c:v>9.6857837737710964E-2</c:v>
                </c:pt>
                <c:pt idx="1">
                  <c:v>0</c:v>
                </c:pt>
                <c:pt idx="2">
                  <c:v>0</c:v>
                </c:pt>
              </c:numCache>
            </c:numRef>
          </c:val>
          <c:extLst>
            <c:ext xmlns:c16="http://schemas.microsoft.com/office/drawing/2014/chart" uri="{C3380CC4-5D6E-409C-BE32-E72D297353CC}">
              <c16:uniqueId val="{00000006-40AD-4537-A721-23983A8D6785}"/>
            </c:ext>
          </c:extLst>
        </c:ser>
        <c:ser>
          <c:idx val="7"/>
          <c:order val="7"/>
          <c:tx>
            <c:strRef>
              <c:f>'NSWOS demersal u24m u300kW'!$H$169</c:f>
              <c:strCache>
                <c:ptCount val="1"/>
                <c:pt idx="0">
                  <c:v>Others</c:v>
                </c:pt>
              </c:strCache>
            </c:strRef>
          </c:tx>
          <c:spPr>
            <a:solidFill>
              <a:srgbClr val="55585A"/>
            </a:solidFill>
            <a:ln>
              <a:solidFill>
                <a:srgbClr val="FFFFFF"/>
              </a:solidFill>
            </a:ln>
          </c:spPr>
          <c:invertIfNegative val="0"/>
          <c:cat>
            <c:strRef>
              <c:f>'NSWOS demersal u24m u300kW'!$I$161:$K$161</c:f>
              <c:strCache>
                <c:ptCount val="3"/>
                <c:pt idx="0">
                  <c:v>Most
profitable
quartile</c:v>
                </c:pt>
                <c:pt idx="1">
                  <c:v>Middle 
two quartiles</c:v>
                </c:pt>
                <c:pt idx="2">
                  <c:v>Least
profitable
quartile</c:v>
                </c:pt>
              </c:strCache>
            </c:strRef>
          </c:cat>
          <c:val>
            <c:numRef>
              <c:f>'NSWOS demersal u24m u300kW'!$I$169:$K$169</c:f>
              <c:numCache>
                <c:formatCode>0%</c:formatCode>
                <c:ptCount val="3"/>
                <c:pt idx="0">
                  <c:v>0.25633756776190275</c:v>
                </c:pt>
                <c:pt idx="1">
                  <c:v>-0.3100791865611241</c:v>
                </c:pt>
                <c:pt idx="2">
                  <c:v>5.2823269123390082E-2</c:v>
                </c:pt>
              </c:numCache>
            </c:numRef>
          </c:val>
          <c:extLst>
            <c:ext xmlns:c16="http://schemas.microsoft.com/office/drawing/2014/chart" uri="{C3380CC4-5D6E-409C-BE32-E72D297353CC}">
              <c16:uniqueId val="{00000007-40AD-4537-A721-23983A8D6785}"/>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'NSWOS demersal u24m u300kW'!$K$139</c:f>
              <c:strCache>
                <c:ptCount val="1"/>
                <c:pt idx="0">
                  <c:v>Total income</c:v>
                </c:pt>
              </c:strCache>
            </c:strRef>
          </c:tx>
          <c:spPr>
            <a:solidFill>
              <a:srgbClr val="087CBB"/>
            </a:solidFill>
            <a:ln>
              <a:solidFill>
                <a:schemeClr val="accent1"/>
              </a:solidFill>
            </a:ln>
          </c:spPr>
          <c:invertIfNegative val="0"/>
          <c:cat>
            <c:strRef>
              <c:f>'NSWOS demersal u24m u300kW'!$L$138:$N$138</c:f>
              <c:strCache>
                <c:ptCount val="3"/>
                <c:pt idx="0">
                  <c:v>Most
profitable
quartile</c:v>
                </c:pt>
                <c:pt idx="1">
                  <c:v>Middle
two quartiles</c:v>
                </c:pt>
                <c:pt idx="2">
                  <c:v>Least
profitable
quartile</c:v>
                </c:pt>
              </c:strCache>
            </c:strRef>
          </c:cat>
          <c:val>
            <c:numRef>
              <c:f>'NSWOS demersal u24m u300kW'!$L$139:$N$139</c:f>
              <c:numCache>
                <c:formatCode>#,##0</c:formatCode>
                <c:ptCount val="3"/>
                <c:pt idx="0">
                  <c:v>810.01218749999998</c:v>
                </c:pt>
                <c:pt idx="1">
                  <c:v>307.43239062499998</c:v>
                </c:pt>
                <c:pt idx="2">
                  <c:v>108.709703125</c:v>
                </c:pt>
              </c:numCache>
            </c:numRef>
          </c:val>
          <c:extLst>
            <c:ext xmlns:c16="http://schemas.microsoft.com/office/drawing/2014/chart" uri="{C3380CC4-5D6E-409C-BE32-E72D297353CC}">
              <c16:uniqueId val="{00000000-68C4-4D3E-9F65-BEDB6EF25C90}"/>
            </c:ext>
          </c:extLst>
        </c:ser>
        <c:ser>
          <c:idx val="1"/>
          <c:order val="1"/>
          <c:tx>
            <c:strRef>
              <c:f>'NSWOS demersal u24m u300kW'!$K$140</c:f>
              <c:strCache>
                <c:ptCount val="1"/>
                <c:pt idx="0">
                  <c:v>Operating costs</c:v>
                </c:pt>
              </c:strCache>
            </c:strRef>
          </c:tx>
          <c:spPr>
            <a:solidFill>
              <a:srgbClr val="E87308"/>
            </a:solidFill>
          </c:spPr>
          <c:invertIfNegative val="0"/>
          <c:cat>
            <c:strRef>
              <c:f>'NSWOS demersal u24m u300kW'!$L$138:$N$138</c:f>
              <c:strCache>
                <c:ptCount val="3"/>
                <c:pt idx="0">
                  <c:v>Most
profitable
quartile</c:v>
                </c:pt>
                <c:pt idx="1">
                  <c:v>Middle
two quartiles</c:v>
                </c:pt>
                <c:pt idx="2">
                  <c:v>Least
profitable
quartile</c:v>
                </c:pt>
              </c:strCache>
            </c:strRef>
          </c:cat>
          <c:val>
            <c:numRef>
              <c:f>'NSWOS demersal u24m u300kW'!$L$140:$N$140</c:f>
              <c:numCache>
                <c:formatCode>#,##0</c:formatCode>
                <c:ptCount val="3"/>
                <c:pt idx="0">
                  <c:v>662.03837499999997</c:v>
                </c:pt>
                <c:pt idx="1">
                  <c:v>267.63903125000002</c:v>
                </c:pt>
                <c:pt idx="2">
                  <c:v>121.5005703125</c:v>
                </c:pt>
              </c:numCache>
            </c:numRef>
          </c:val>
          <c:extLst>
            <c:ext xmlns:c16="http://schemas.microsoft.com/office/drawing/2014/chart" uri="{C3380CC4-5D6E-409C-BE32-E72D297353CC}">
              <c16:uniqueId val="{00000001-68C4-4D3E-9F65-BEDB6EF25C90}"/>
            </c:ext>
          </c:extLst>
        </c:ser>
        <c:ser>
          <c:idx val="2"/>
          <c:order val="2"/>
          <c:tx>
            <c:strRef>
              <c:f>'NSWOS demersal u24m u300kW'!$K$141</c:f>
              <c:strCache>
                <c:ptCount val="1"/>
                <c:pt idx="0">
                  <c:v>Operating profit</c:v>
                </c:pt>
              </c:strCache>
            </c:strRef>
          </c:tx>
          <c:spPr>
            <a:solidFill>
              <a:srgbClr val="51AA81"/>
            </a:solidFill>
          </c:spPr>
          <c:invertIfNegative val="0"/>
          <c:cat>
            <c:strRef>
              <c:f>'NSWOS demersal u24m u300kW'!$L$138:$N$138</c:f>
              <c:strCache>
                <c:ptCount val="3"/>
                <c:pt idx="0">
                  <c:v>Most
profitable
quartile</c:v>
                </c:pt>
                <c:pt idx="1">
                  <c:v>Middle
two quartiles</c:v>
                </c:pt>
                <c:pt idx="2">
                  <c:v>Least
profitable
quartile</c:v>
                </c:pt>
              </c:strCache>
            </c:strRef>
          </c:cat>
          <c:val>
            <c:numRef>
              <c:f>'NSWOS demersal u24m u300kW'!$L$141:$N$141</c:f>
              <c:numCache>
                <c:formatCode>#,##0</c:formatCode>
                <c:ptCount val="3"/>
                <c:pt idx="0">
                  <c:v>147.97381250000001</c:v>
                </c:pt>
                <c:pt idx="1">
                  <c:v>39.793359375000001</c:v>
                </c:pt>
                <c:pt idx="2">
                  <c:v>-12.7908671875</c:v>
                </c:pt>
              </c:numCache>
            </c:numRef>
          </c:val>
          <c:extLst>
            <c:ext xmlns:c16="http://schemas.microsoft.com/office/drawing/2014/chart" uri="{C3380CC4-5D6E-409C-BE32-E72D297353CC}">
              <c16:uniqueId val="{00000002-68C4-4D3E-9F65-BEDB6EF25C90}"/>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'NSWOS demersal u24m u300kW'!$K$142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10-12m'!$A$48</c:f>
          <c:strCache>
            <c:ptCount val="1"/>
            <c:pt idx="0">
              <c:v>Landings per kW day at sea (kg)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0777-4C7B-8C4D-0BE484307DCC}"/>
              </c:ext>
            </c:extLst>
          </c:dPt>
          <c:dPt>
            <c:idx val="10"/>
            <c:bubble3D val="0"/>
            <c:spPr>
              <a:ln w="57150">
                <a:solidFill>
                  <a:srgbClr val="2273B9"/>
                </a:solidFill>
                <a:prstDash val="sysDot"/>
              </a:ln>
            </c:spPr>
            <c:extLst>
              <c:ext xmlns:c16="http://schemas.microsoft.com/office/drawing/2014/chart" uri="{C3380CC4-5D6E-409C-BE32-E72D297353CC}">
                <c16:uniqueId val="{00000003-0777-4C7B-8C4D-0BE484307DCC}"/>
              </c:ext>
            </c:extLst>
          </c:dPt>
          <c:cat>
            <c:numRef>
              <c:f>'Pots and traps 10-12m'!$D$2:$N$2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'Pots and traps 10-12m'!$D$21:$N$21</c:f>
              <c:numCache>
                <c:formatCode>#,##0.00</c:formatCode>
                <c:ptCount val="11"/>
                <c:pt idx="0">
                  <c:v>2.2685021858678827</c:v>
                </c:pt>
                <c:pt idx="1">
                  <c:v>2.4473436989740622</c:v>
                </c:pt>
                <c:pt idx="2">
                  <c:v>2.5862568585868888</c:v>
                </c:pt>
                <c:pt idx="3">
                  <c:v>2.9470989899997764</c:v>
                </c:pt>
                <c:pt idx="4">
                  <c:v>2.7317684115728165</c:v>
                </c:pt>
                <c:pt idx="5">
                  <c:v>2.778745358943667</c:v>
                </c:pt>
                <c:pt idx="6">
                  <c:v>3.057889747382696</c:v>
                </c:pt>
                <c:pt idx="7">
                  <c:v>2.9541785084541461</c:v>
                </c:pt>
                <c:pt idx="8">
                  <c:v>2.6647131243453845</c:v>
                </c:pt>
                <c:pt idx="9">
                  <c:v>2.4065377888311468</c:v>
                </c:pt>
                <c:pt idx="10">
                  <c:v>2.4144945049821049</c:v>
                </c:pt>
              </c:numCache>
            </c:numRef>
          </c:val>
          <c:smooth val="0"/>
          <c:extLst>
            <c:ext xmlns:c16="http://schemas.microsoft.com/office/drawing/2014/chart" uri="{C3380CC4-5D6E-409C-BE32-E72D297353CC}">
              <c16:uniqueId val="{00000004-0777-4C7B-8C4D-0BE484307DCC}"/>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'Area VIIa nephrops o250kW'!$H$162</c:f>
              <c:strCache>
                <c:ptCount val="1"/>
                <c:pt idx="0">
                  <c:v>Nephrops</c:v>
                </c:pt>
              </c:strCache>
            </c:strRef>
          </c:tx>
          <c:spPr>
            <a:solidFill>
              <a:srgbClr val="2273B9"/>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o250kW'!$I$162:$K$162</c:f>
              <c:numCache>
                <c:formatCode>0%</c:formatCode>
                <c:ptCount val="3"/>
                <c:pt idx="0">
                  <c:v>0.91765253568258354</c:v>
                </c:pt>
                <c:pt idx="1">
                  <c:v>0.92184723651372924</c:v>
                </c:pt>
                <c:pt idx="2">
                  <c:v>0.91807910627245726</c:v>
                </c:pt>
              </c:numCache>
            </c:numRef>
          </c:val>
          <c:extLst>
            <c:ext xmlns:c16="http://schemas.microsoft.com/office/drawing/2014/chart" uri="{C3380CC4-5D6E-409C-BE32-E72D297353CC}">
              <c16:uniqueId val="{00000000-5F87-4EE6-AEC9-2E30923B8849}"/>
            </c:ext>
          </c:extLst>
        </c:ser>
        <c:ser>
          <c:idx val="1"/>
          <c:order val="1"/>
          <c:tx>
            <c:strRef>
              <c:f>'Area VIIa nephrops o250kW'!$H$163</c:f>
              <c:strCache>
                <c:ptCount val="1"/>
                <c:pt idx="0">
                  <c:v>Haddock</c:v>
                </c:pt>
              </c:strCache>
            </c:strRef>
          </c:tx>
          <c:spPr>
            <a:solidFill>
              <a:srgbClr val="648C2E"/>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o250kW'!$I$163:$K$163</c:f>
              <c:numCache>
                <c:formatCode>0%</c:formatCode>
                <c:ptCount val="3"/>
                <c:pt idx="0">
                  <c:v>6.2515536643900776E-3</c:v>
                </c:pt>
                <c:pt idx="1">
                  <c:v>2.7214813160469985E-2</c:v>
                </c:pt>
                <c:pt idx="2">
                  <c:v>2.1791861938879008E-2</c:v>
                </c:pt>
              </c:numCache>
            </c:numRef>
          </c:val>
          <c:extLst>
            <c:ext xmlns:c16="http://schemas.microsoft.com/office/drawing/2014/chart" uri="{C3380CC4-5D6E-409C-BE32-E72D297353CC}">
              <c16:uniqueId val="{00000001-5F87-4EE6-AEC9-2E30923B8849}"/>
            </c:ext>
          </c:extLst>
        </c:ser>
        <c:ser>
          <c:idx val="2"/>
          <c:order val="2"/>
          <c:tx>
            <c:strRef>
              <c:f>'Area VIIa nephrops o250kW'!$H$164</c:f>
              <c:strCache>
                <c:ptCount val="1"/>
                <c:pt idx="0">
                  <c:v>Anglerfish</c:v>
                </c:pt>
              </c:strCache>
            </c:strRef>
          </c:tx>
          <c:spPr>
            <a:solidFill>
              <a:srgbClr val="E87308"/>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o250kW'!$I$164:$K$164</c:f>
              <c:numCache>
                <c:formatCode>0%</c:formatCode>
                <c:ptCount val="3"/>
                <c:pt idx="0">
                  <c:v>1.9903415873192633E-2</c:v>
                </c:pt>
                <c:pt idx="1">
                  <c:v>2.1779328867492107E-2</c:v>
                </c:pt>
                <c:pt idx="2">
                  <c:v>2.0235640721455398E-2</c:v>
                </c:pt>
              </c:numCache>
            </c:numRef>
          </c:val>
          <c:extLst>
            <c:ext xmlns:c16="http://schemas.microsoft.com/office/drawing/2014/chart" uri="{C3380CC4-5D6E-409C-BE32-E72D297353CC}">
              <c16:uniqueId val="{00000002-5F87-4EE6-AEC9-2E30923B8849}"/>
            </c:ext>
          </c:extLst>
        </c:ser>
        <c:ser>
          <c:idx val="3"/>
          <c:order val="3"/>
          <c:tx>
            <c:strRef>
              <c:f>'Area VIIa nephrops o250kW'!$H$165</c:f>
              <c:strCache>
                <c:ptCount val="1"/>
                <c:pt idx="0">
                  <c:v>Cod</c:v>
                </c:pt>
              </c:strCache>
            </c:strRef>
          </c:tx>
          <c:spPr>
            <a:solidFill>
              <a:srgbClr val="E84A38"/>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o250kW'!$I$165:$K$165</c:f>
              <c:numCache>
                <c:formatCode>0%</c:formatCode>
                <c:ptCount val="3"/>
                <c:pt idx="0">
                  <c:v>0</c:v>
                </c:pt>
                <c:pt idx="1">
                  <c:v>7.9915657965054319E-3</c:v>
                </c:pt>
                <c:pt idx="2">
                  <c:v>6.3596824423359814E-3</c:v>
                </c:pt>
              </c:numCache>
            </c:numRef>
          </c:val>
          <c:extLst>
            <c:ext xmlns:c16="http://schemas.microsoft.com/office/drawing/2014/chart" uri="{C3380CC4-5D6E-409C-BE32-E72D297353CC}">
              <c16:uniqueId val="{00000003-5F87-4EE6-AEC9-2E30923B8849}"/>
            </c:ext>
          </c:extLst>
        </c:ser>
        <c:ser>
          <c:idx val="4"/>
          <c:order val="4"/>
          <c:tx>
            <c:strRef>
              <c:f>'Area VIIa nephrops o250kW'!$H$166</c:f>
              <c:strCache>
                <c:ptCount val="1"/>
                <c:pt idx="0">
                  <c:v>Les. Spot. Dog</c:v>
                </c:pt>
              </c:strCache>
            </c:strRef>
          </c:tx>
          <c:spPr>
            <a:solidFill>
              <a:srgbClr val="0F9AA9"/>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o250kW'!$I$166:$K$166</c:f>
              <c:numCache>
                <c:formatCode>0%</c:formatCode>
                <c:ptCount val="3"/>
                <c:pt idx="0">
                  <c:v>0</c:v>
                </c:pt>
                <c:pt idx="1">
                  <c:v>7.3185914157872407E-3</c:v>
                </c:pt>
                <c:pt idx="2">
                  <c:v>0</c:v>
                </c:pt>
              </c:numCache>
            </c:numRef>
          </c:val>
          <c:extLst>
            <c:ext xmlns:c16="http://schemas.microsoft.com/office/drawing/2014/chart" uri="{C3380CC4-5D6E-409C-BE32-E72D297353CC}">
              <c16:uniqueId val="{00000004-5F87-4EE6-AEC9-2E30923B8849}"/>
            </c:ext>
          </c:extLst>
        </c:ser>
        <c:ser>
          <c:idx val="5"/>
          <c:order val="5"/>
          <c:tx>
            <c:strRef>
              <c:f>'Area VIIa nephrops o250kW'!$H$167</c:f>
              <c:strCache>
                <c:ptCount val="1"/>
                <c:pt idx="0">
                  <c:v>Hake</c:v>
                </c:pt>
              </c:strCache>
            </c:strRef>
          </c:tx>
          <c:spPr>
            <a:solidFill>
              <a:srgbClr val="707271"/>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o250kW'!$I$167:$K$167</c:f>
              <c:numCache>
                <c:formatCode>0%</c:formatCode>
                <c:ptCount val="3"/>
                <c:pt idx="0">
                  <c:v>0</c:v>
                </c:pt>
                <c:pt idx="1">
                  <c:v>0</c:v>
                </c:pt>
                <c:pt idx="2">
                  <c:v>9.7496179990247071E-3</c:v>
                </c:pt>
              </c:numCache>
            </c:numRef>
          </c:val>
          <c:extLst>
            <c:ext xmlns:c16="http://schemas.microsoft.com/office/drawing/2014/chart" uri="{C3380CC4-5D6E-409C-BE32-E72D297353CC}">
              <c16:uniqueId val="{00000005-5F87-4EE6-AEC9-2E30923B8849}"/>
            </c:ext>
          </c:extLst>
        </c:ser>
        <c:ser>
          <c:idx val="6"/>
          <c:order val="6"/>
          <c:tx>
            <c:strRef>
              <c:f>'Area VIIa nephrops o250kW'!$H$168</c:f>
              <c:strCache>
                <c:ptCount val="1"/>
                <c:pt idx="0">
                  <c:v>Cuttlefish</c:v>
                </c:pt>
              </c:strCache>
            </c:strRef>
          </c:tx>
          <c:spPr>
            <a:solidFill>
              <a:srgbClr val="C1D119"/>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o250kW'!$I$168:$K$168</c:f>
              <c:numCache>
                <c:formatCode>0%</c:formatCode>
                <c:ptCount val="3"/>
                <c:pt idx="0">
                  <c:v>2.5740796041003735E-2</c:v>
                </c:pt>
                <c:pt idx="1">
                  <c:v>0</c:v>
                </c:pt>
                <c:pt idx="2">
                  <c:v>0</c:v>
                </c:pt>
              </c:numCache>
            </c:numRef>
          </c:val>
          <c:extLst>
            <c:ext xmlns:c16="http://schemas.microsoft.com/office/drawing/2014/chart" uri="{C3380CC4-5D6E-409C-BE32-E72D297353CC}">
              <c16:uniqueId val="{00000006-5F87-4EE6-AEC9-2E30923B8849}"/>
            </c:ext>
          </c:extLst>
        </c:ser>
        <c:ser>
          <c:idx val="7"/>
          <c:order val="7"/>
          <c:tx>
            <c:strRef>
              <c:f>'Area VIIa nephrops o250kW'!$H$169</c:f>
              <c:strCache>
                <c:ptCount val="1"/>
                <c:pt idx="0">
                  <c:v>Squid</c:v>
                </c:pt>
              </c:strCache>
            </c:strRef>
          </c:tx>
          <c:spPr>
            <a:solidFill>
              <a:srgbClr val="51AA81"/>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o250kW'!$I$169:$K$169</c:f>
              <c:numCache>
                <c:formatCode>0%</c:formatCode>
                <c:ptCount val="3"/>
                <c:pt idx="0">
                  <c:v>6.4573656726064329E-3</c:v>
                </c:pt>
                <c:pt idx="1">
                  <c:v>0</c:v>
                </c:pt>
                <c:pt idx="2">
                  <c:v>0</c:v>
                </c:pt>
              </c:numCache>
            </c:numRef>
          </c:val>
          <c:extLst>
            <c:ext xmlns:c16="http://schemas.microsoft.com/office/drawing/2014/chart" uri="{C3380CC4-5D6E-409C-BE32-E72D297353CC}">
              <c16:uniqueId val="{00000007-5F87-4EE6-AEC9-2E30923B8849}"/>
            </c:ext>
          </c:extLst>
        </c:ser>
        <c:ser>
          <c:idx val="8"/>
          <c:order val="8"/>
          <c:tx>
            <c:strRef>
              <c:f>'Area VIIa nephrops o250kW'!$H$170</c:f>
              <c:strCache>
                <c:ptCount val="1"/>
                <c:pt idx="0">
                  <c:v>Others</c:v>
                </c:pt>
              </c:strCache>
            </c:strRef>
          </c:tx>
          <c:spPr>
            <a:solidFill>
              <a:srgbClr val="55585A"/>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o250kW'!$I$170:$K$170</c:f>
              <c:numCache>
                <c:formatCode>0%</c:formatCode>
                <c:ptCount val="3"/>
                <c:pt idx="0">
                  <c:v>2.399433306622345E-2</c:v>
                </c:pt>
                <c:pt idx="1">
                  <c:v>1.3848464246015935E-2</c:v>
                </c:pt>
                <c:pt idx="2">
                  <c:v>2.378409062584752E-2</c:v>
                </c:pt>
              </c:numCache>
            </c:numRef>
          </c:val>
          <c:extLst>
            <c:ext xmlns:c16="http://schemas.microsoft.com/office/drawing/2014/chart" uri="{C3380CC4-5D6E-409C-BE32-E72D297353CC}">
              <c16:uniqueId val="{00000008-5F87-4EE6-AEC9-2E30923B8849}"/>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10-12m'!$A$49</c:f>
          <c:strCache>
            <c:ptCount val="1"/>
            <c:pt idx="0">
              <c:v>Fishing income per kW day at sea (£)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AD07-4A5A-929F-BA971DDF3DAF}"/>
              </c:ext>
            </c:extLst>
          </c:dPt>
          <c:dPt>
            <c:idx val="10"/>
            <c:bubble3D val="0"/>
            <c:spPr>
              <a:ln w="57150">
                <a:solidFill>
                  <a:srgbClr val="648C2E"/>
                </a:solidFill>
                <a:prstDash val="sysDot"/>
              </a:ln>
            </c:spPr>
            <c:extLst>
              <c:ext xmlns:c16="http://schemas.microsoft.com/office/drawing/2014/chart" uri="{C3380CC4-5D6E-409C-BE32-E72D297353CC}">
                <c16:uniqueId val="{00000003-AD07-4A5A-929F-BA971DDF3DAF}"/>
              </c:ext>
            </c:extLst>
          </c:dPt>
          <c:cat>
            <c:numRef>
              <c:f>'Pots and traps 10-12m'!$D$2:$N$2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'Pots and traps 10-12m'!$D$22:$N$22</c:f>
              <c:numCache>
                <c:formatCode>#,##0.00</c:formatCode>
                <c:ptCount val="11"/>
                <c:pt idx="0">
                  <c:v>5.6142768233809797</c:v>
                </c:pt>
                <c:pt idx="1">
                  <c:v>6.1340160418626297</c:v>
                </c:pt>
                <c:pt idx="2">
                  <c:v>6.1056124322662599</c:v>
                </c:pt>
                <c:pt idx="3">
                  <c:v>6.0237150761616602</c:v>
                </c:pt>
                <c:pt idx="4">
                  <c:v>6.1720907738906901</c:v>
                </c:pt>
                <c:pt idx="5">
                  <c:v>6.4473159640865596</c:v>
                </c:pt>
                <c:pt idx="6">
                  <c:v>7.2812989321887898</c:v>
                </c:pt>
                <c:pt idx="7">
                  <c:v>7.9584694134731198</c:v>
                </c:pt>
                <c:pt idx="8">
                  <c:v>8.8227512420230401</c:v>
                </c:pt>
                <c:pt idx="9">
                  <c:v>8.12687319111002</c:v>
                </c:pt>
                <c:pt idx="10">
                  <c:v>6.6574640302827897</c:v>
                </c:pt>
              </c:numCache>
            </c:numRef>
          </c:val>
          <c:smooth val="0"/>
          <c:extLst>
            <c:ext xmlns:c16="http://schemas.microsoft.com/office/drawing/2014/chart" uri="{C3380CC4-5D6E-409C-BE32-E72D297353CC}">
              <c16:uniqueId val="{00000004-AD07-4A5A-929F-BA971DDF3DAF}"/>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10-12m'!$B$62</c:f>
          <c:strCache>
            <c:ptCount val="1"/>
            <c:pt idx="0">
              <c:v>Total cost per kW day at sea (£)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56AF-4F75-A9D8-AA92BD73BE44}"/>
              </c:ext>
            </c:extLst>
          </c:dPt>
          <c:dPt>
            <c:idx val="10"/>
            <c:bubble3D val="0"/>
            <c:spPr>
              <a:ln w="57150">
                <a:solidFill>
                  <a:srgbClr val="087CBB"/>
                </a:solidFill>
                <a:prstDash val="sysDot"/>
              </a:ln>
            </c:spPr>
            <c:extLst>
              <c:ext xmlns:c16="http://schemas.microsoft.com/office/drawing/2014/chart" uri="{C3380CC4-5D6E-409C-BE32-E72D297353CC}">
                <c16:uniqueId val="{00000003-56AF-4F75-A9D8-AA92BD73BE44}"/>
              </c:ext>
            </c:extLst>
          </c:dPt>
          <c:cat>
            <c:numRef>
              <c:f>'Pots and traps 10-12m'!$D$2:$N$2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'Pots and traps 10-12m'!$D$23:$N$23</c:f>
              <c:numCache>
                <c:formatCode>#,##0.00</c:formatCode>
                <c:ptCount val="11"/>
                <c:pt idx="0">
                  <c:v>4.4939496966736199</c:v>
                </c:pt>
                <c:pt idx="1">
                  <c:v>5.3188049507299304</c:v>
                </c:pt>
                <c:pt idx="2">
                  <c:v>4.1723870888044097</c:v>
                </c:pt>
                <c:pt idx="3">
                  <c:v>4.7923526240861101</c:v>
                </c:pt>
                <c:pt idx="4">
                  <c:v>4.5216857475828398</c:v>
                </c:pt>
                <c:pt idx="5">
                  <c:v>4.3377335961908097</c:v>
                </c:pt>
                <c:pt idx="6">
                  <c:v>5.0551761873749497</c:v>
                </c:pt>
                <c:pt idx="7">
                  <c:v>5.6872491262255096</c:v>
                </c:pt>
                <c:pt idx="8">
                  <c:v>5.8399446262711203</c:v>
                </c:pt>
                <c:pt idx="9">
                  <c:v>5.3881684118867499</c:v>
                </c:pt>
                <c:pt idx="10">
                  <c:v>4.8935143829990047</c:v>
                </c:pt>
              </c:numCache>
            </c:numRef>
          </c:val>
          <c:smooth val="0"/>
          <c:extLst>
            <c:ext xmlns:c16="http://schemas.microsoft.com/office/drawing/2014/chart" uri="{C3380CC4-5D6E-409C-BE32-E72D297353CC}">
              <c16:uniqueId val="{00000004-56AF-4F75-A9D8-AA92BD73BE44}"/>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10-12m'!$K$48</c:f>
          <c:strCache>
            <c:ptCount val="1"/>
            <c:pt idx="0">
              <c:v>Operating profit per kW day at sea (£)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2A43-47B7-A1F1-7C8086D9F9AB}"/>
              </c:ext>
            </c:extLst>
          </c:dPt>
          <c:dPt>
            <c:idx val="10"/>
            <c:bubble3D val="0"/>
            <c:spPr>
              <a:ln w="57150">
                <a:solidFill>
                  <a:schemeClr val="accent3"/>
                </a:solidFill>
                <a:prstDash val="sysDot"/>
              </a:ln>
            </c:spPr>
            <c:extLst>
              <c:ext xmlns:c16="http://schemas.microsoft.com/office/drawing/2014/chart" uri="{C3380CC4-5D6E-409C-BE32-E72D297353CC}">
                <c16:uniqueId val="{00000003-2A43-47B7-A1F1-7C8086D9F9AB}"/>
              </c:ext>
            </c:extLst>
          </c:dPt>
          <c:cat>
            <c:numRef>
              <c:f>'Pots and traps 10-12m'!$D$2:$N$2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'Pots and traps 10-12m'!$D$24:$N$24</c:f>
              <c:numCache>
                <c:formatCode>#,##0.00</c:formatCode>
                <c:ptCount val="11"/>
                <c:pt idx="0">
                  <c:v>1.3344025711588201</c:v>
                </c:pt>
                <c:pt idx="1">
                  <c:v>0.83413964335416801</c:v>
                </c:pt>
                <c:pt idx="2">
                  <c:v>1.99302086061193</c:v>
                </c:pt>
                <c:pt idx="3">
                  <c:v>1.3498861938944</c:v>
                </c:pt>
                <c:pt idx="4">
                  <c:v>1.7880505648823899</c:v>
                </c:pt>
                <c:pt idx="5">
                  <c:v>2.2399358817867498</c:v>
                </c:pt>
                <c:pt idx="6">
                  <c:v>2.4748241780598499</c:v>
                </c:pt>
                <c:pt idx="7">
                  <c:v>3.0654903480556999</c:v>
                </c:pt>
                <c:pt idx="8">
                  <c:v>3.2686887948313199</c:v>
                </c:pt>
                <c:pt idx="9">
                  <c:v>2.9287146272268498</c:v>
                </c:pt>
                <c:pt idx="10">
                  <c:v>2.397690520135308</c:v>
                </c:pt>
              </c:numCache>
            </c:numRef>
          </c:val>
          <c:smooth val="0"/>
          <c:extLst>
            <c:ext xmlns:c16="http://schemas.microsoft.com/office/drawing/2014/chart" uri="{C3380CC4-5D6E-409C-BE32-E72D297353CC}">
              <c16:uniqueId val="{00000004-2A43-47B7-A1F1-7C8086D9F9AB}"/>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10-12m'!$A$50</c:f>
          <c:strCache>
            <c:ptCount val="1"/>
            <c:pt idx="0">
              <c:v>Average price per tonne landed (£)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6B21-4D4E-A248-DF84E92DF0B7}"/>
              </c:ext>
            </c:extLst>
          </c:dPt>
          <c:dPt>
            <c:idx val="10"/>
            <c:bubble3D val="0"/>
            <c:spPr>
              <a:ln w="57150">
                <a:solidFill>
                  <a:schemeClr val="accent4"/>
                </a:solidFill>
                <a:prstDash val="sysDot"/>
              </a:ln>
            </c:spPr>
            <c:extLst>
              <c:ext xmlns:c16="http://schemas.microsoft.com/office/drawing/2014/chart" uri="{C3380CC4-5D6E-409C-BE32-E72D297353CC}">
                <c16:uniqueId val="{00000003-6B21-4D4E-A248-DF84E92DF0B7}"/>
              </c:ext>
            </c:extLst>
          </c:dPt>
          <c:cat>
            <c:numRef>
              <c:f>'Pots and traps 10-12m'!$D$2:$M$2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'Pots and traps 10-12m'!$D$20:$N$20</c:f>
              <c:numCache>
                <c:formatCode>#,##0</c:formatCode>
                <c:ptCount val="11"/>
                <c:pt idx="0">
                  <c:v>2475</c:v>
                </c:pt>
                <c:pt idx="1">
                  <c:v>2506</c:v>
                </c:pt>
                <c:pt idx="2">
                  <c:v>2361</c:v>
                </c:pt>
                <c:pt idx="3">
                  <c:v>2044</c:v>
                </c:pt>
                <c:pt idx="4">
                  <c:v>2259</c:v>
                </c:pt>
                <c:pt idx="5">
                  <c:v>2320</c:v>
                </c:pt>
                <c:pt idx="6">
                  <c:v>2381</c:v>
                </c:pt>
                <c:pt idx="7">
                  <c:v>2694</c:v>
                </c:pt>
                <c:pt idx="8">
                  <c:v>3311</c:v>
                </c:pt>
                <c:pt idx="9">
                  <c:v>3377</c:v>
                </c:pt>
                <c:pt idx="10">
                  <c:v>2757</c:v>
                </c:pt>
              </c:numCache>
            </c:numRef>
          </c:val>
          <c:smooth val="0"/>
          <c:extLst>
            <c:ext xmlns:c16="http://schemas.microsoft.com/office/drawing/2014/chart" uri="{C3380CC4-5D6E-409C-BE32-E72D297353CC}">
              <c16:uniqueId val="{00000004-6B21-4D4E-A248-DF84E92DF0B7}"/>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10-12m'!$K$62</c:f>
          <c:strCache>
            <c:ptCount val="1"/>
            <c:pt idx="0">
              <c:v>Average annual operating profit per vessel (£'000)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998E-457B-94F7-6C24BF3C11F7}"/>
              </c:ext>
            </c:extLst>
          </c:dPt>
          <c:dPt>
            <c:idx val="10"/>
            <c:bubble3D val="0"/>
            <c:spPr>
              <a:ln w="57150">
                <a:solidFill>
                  <a:schemeClr val="accent5"/>
                </a:solidFill>
                <a:prstDash val="sysDot"/>
              </a:ln>
            </c:spPr>
            <c:extLst>
              <c:ext xmlns:c16="http://schemas.microsoft.com/office/drawing/2014/chart" uri="{C3380CC4-5D6E-409C-BE32-E72D297353CC}">
                <c16:uniqueId val="{00000003-998E-457B-94F7-6C24BF3C11F7}"/>
              </c:ext>
            </c:extLst>
          </c:dPt>
          <c:cat>
            <c:numRef>
              <c:f>'Pots and traps 10-12m'!$D$2:$M$2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'Pots and traps 10-12m'!$D$37:$N$37</c:f>
              <c:numCache>
                <c:formatCode>#,##0.0</c:formatCode>
                <c:ptCount val="11"/>
                <c:pt idx="0">
                  <c:v>29.7</c:v>
                </c:pt>
                <c:pt idx="1">
                  <c:v>16.8</c:v>
                </c:pt>
                <c:pt idx="2">
                  <c:v>40.299999999999997</c:v>
                </c:pt>
                <c:pt idx="3">
                  <c:v>27.3</c:v>
                </c:pt>
                <c:pt idx="4">
                  <c:v>38.4</c:v>
                </c:pt>
                <c:pt idx="5">
                  <c:v>49.8</c:v>
                </c:pt>
                <c:pt idx="6">
                  <c:v>54.1</c:v>
                </c:pt>
                <c:pt idx="7">
                  <c:v>64.7</c:v>
                </c:pt>
                <c:pt idx="8">
                  <c:v>69.2</c:v>
                </c:pt>
                <c:pt idx="9">
                  <c:v>68</c:v>
                </c:pt>
                <c:pt idx="10">
                  <c:v>48.4</c:v>
                </c:pt>
              </c:numCache>
            </c:numRef>
          </c:val>
          <c:smooth val="0"/>
          <c:extLst>
            <c:ext xmlns:c16="http://schemas.microsoft.com/office/drawing/2014/chart" uri="{C3380CC4-5D6E-409C-BE32-E72D297353CC}">
              <c16:uniqueId val="{00000004-998E-457B-94F7-6C24BF3C11F7}"/>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10-12m'!$A$76</c:f>
          <c:strCache>
            <c:ptCount val="1"/>
            <c:pt idx="0">
              <c:v>Top 5 landed species by volume in 2019
Pots and traps 10-12m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7F3E-49BD-9DD6-271D3EDBFDA8}"/>
              </c:ext>
            </c:extLst>
          </c:dPt>
          <c:dPt>
            <c:idx val="1"/>
            <c:bubble3D val="0"/>
            <c:spPr>
              <a:solidFill>
                <a:srgbClr val="C1D119"/>
              </a:solidFill>
              <a:ln>
                <a:solidFill>
                  <a:srgbClr val="FFFFFF"/>
                </a:solidFill>
              </a:ln>
            </c:spPr>
            <c:extLst>
              <c:ext xmlns:c16="http://schemas.microsoft.com/office/drawing/2014/chart" uri="{C3380CC4-5D6E-409C-BE32-E72D297353CC}">
                <c16:uniqueId val="{00000003-7F3E-49BD-9DD6-271D3EDBFDA8}"/>
              </c:ext>
            </c:extLst>
          </c:dPt>
          <c:dPt>
            <c:idx val="2"/>
            <c:bubble3D val="0"/>
            <c:spPr>
              <a:solidFill>
                <a:srgbClr val="E87308"/>
              </a:solidFill>
              <a:ln>
                <a:solidFill>
                  <a:srgbClr val="FFFFFF"/>
                </a:solidFill>
              </a:ln>
            </c:spPr>
            <c:extLst>
              <c:ext xmlns:c16="http://schemas.microsoft.com/office/drawing/2014/chart" uri="{C3380CC4-5D6E-409C-BE32-E72D297353CC}">
                <c16:uniqueId val="{00000005-7F3E-49BD-9DD6-271D3EDBFDA8}"/>
              </c:ext>
            </c:extLst>
          </c:dPt>
          <c:dPt>
            <c:idx val="3"/>
            <c:bubble3D val="0"/>
            <c:spPr>
              <a:solidFill>
                <a:srgbClr val="648C2E"/>
              </a:solidFill>
              <a:ln>
                <a:solidFill>
                  <a:srgbClr val="FFFFFF"/>
                </a:solidFill>
              </a:ln>
            </c:spPr>
            <c:extLst>
              <c:ext xmlns:c16="http://schemas.microsoft.com/office/drawing/2014/chart" uri="{C3380CC4-5D6E-409C-BE32-E72D297353CC}">
                <c16:uniqueId val="{00000007-7F3E-49BD-9DD6-271D3EDBFDA8}"/>
              </c:ext>
            </c:extLst>
          </c:dPt>
          <c:dPt>
            <c:idx val="4"/>
            <c:bubble3D val="0"/>
            <c:spPr>
              <a:solidFill>
                <a:srgbClr val="0F9AA9"/>
              </a:solidFill>
              <a:ln>
                <a:solidFill>
                  <a:srgbClr val="FFFFFF"/>
                </a:solidFill>
              </a:ln>
            </c:spPr>
            <c:extLst>
              <c:ext xmlns:c16="http://schemas.microsoft.com/office/drawing/2014/chart" uri="{C3380CC4-5D6E-409C-BE32-E72D297353CC}">
                <c16:uniqueId val="{00000009-7F3E-49BD-9DD6-271D3EDBFDA8}"/>
              </c:ext>
            </c:extLst>
          </c:dPt>
          <c:dPt>
            <c:idx val="5"/>
            <c:bubble3D val="0"/>
            <c:spPr>
              <a:solidFill>
                <a:srgbClr val="55585A"/>
              </a:solidFill>
              <a:ln>
                <a:solidFill>
                  <a:srgbClr val="FFFFFF"/>
                </a:solidFill>
              </a:ln>
            </c:spPr>
            <c:extLst>
              <c:ext xmlns:c16="http://schemas.microsoft.com/office/drawing/2014/chart" uri="{C3380CC4-5D6E-409C-BE32-E72D297353CC}">
                <c16:uniqueId val="{0000000B-7F3E-49BD-9DD6-271D3EDBFDA8}"/>
              </c:ext>
            </c:extLst>
          </c:dPt>
          <c:cat>
            <c:strRef>
              <c:f>'Pots and traps 10-12m'!$B$77:$B$82</c:f>
              <c:strCache>
                <c:ptCount val="6"/>
                <c:pt idx="0">
                  <c:v>Brown Crab - 48.4%</c:v>
                </c:pt>
                <c:pt idx="1">
                  <c:v>Whelks - 31.4%</c:v>
                </c:pt>
                <c:pt idx="2">
                  <c:v>Lobsters - 6.3%</c:v>
                </c:pt>
                <c:pt idx="3">
                  <c:v>Nephrops - 4.8%</c:v>
                </c:pt>
                <c:pt idx="4">
                  <c:v>Pilchards - 3.0%</c:v>
                </c:pt>
                <c:pt idx="5">
                  <c:v>Others - 6.1%</c:v>
                </c:pt>
              </c:strCache>
            </c:strRef>
          </c:cat>
          <c:val>
            <c:numRef>
              <c:f>'Pots and traps 10-12m'!$C$77:$C$82</c:f>
              <c:numCache>
                <c:formatCode>0.0%</c:formatCode>
                <c:ptCount val="6"/>
                <c:pt idx="0">
                  <c:v>0.48408686243158772</c:v>
                </c:pt>
                <c:pt idx="1">
                  <c:v>0.31367839356188137</c:v>
                </c:pt>
                <c:pt idx="2">
                  <c:v>6.2923914461131214E-2</c:v>
                </c:pt>
                <c:pt idx="3">
                  <c:v>4.7973466551056193E-2</c:v>
                </c:pt>
                <c:pt idx="4">
                  <c:v>3.044858936705681E-2</c:v>
                </c:pt>
                <c:pt idx="5">
                  <c:v>6.0888773627286619E-2</c:v>
                </c:pt>
              </c:numCache>
            </c:numRef>
          </c:val>
          <c:extLst>
            <c:ext xmlns:c16="http://schemas.microsoft.com/office/drawing/2014/chart" uri="{C3380CC4-5D6E-409C-BE32-E72D297353CC}">
              <c16:uniqueId val="{0000000C-7F3E-49BD-9DD6-271D3EDBFDA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10-12m'!$F$76</c:f>
          <c:strCache>
            <c:ptCount val="1"/>
            <c:pt idx="0">
              <c:v>Top 5 landed species by value in 2019
Pots and traps 10-12m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0DC0-4B42-8E6F-9D969AED5C3C}"/>
              </c:ext>
            </c:extLst>
          </c:dPt>
          <c:dPt>
            <c:idx val="1"/>
            <c:bubble3D val="0"/>
            <c:spPr>
              <a:solidFill>
                <a:srgbClr val="E87308"/>
              </a:solidFill>
              <a:ln>
                <a:solidFill>
                  <a:srgbClr val="FFFFFF"/>
                </a:solidFill>
              </a:ln>
            </c:spPr>
            <c:extLst>
              <c:ext xmlns:c16="http://schemas.microsoft.com/office/drawing/2014/chart" uri="{C3380CC4-5D6E-409C-BE32-E72D297353CC}">
                <c16:uniqueId val="{00000003-0DC0-4B42-8E6F-9D969AED5C3C}"/>
              </c:ext>
            </c:extLst>
          </c:dPt>
          <c:dPt>
            <c:idx val="2"/>
            <c:bubble3D val="0"/>
            <c:spPr>
              <a:solidFill>
                <a:srgbClr val="648C2E"/>
              </a:solidFill>
              <a:ln>
                <a:solidFill>
                  <a:srgbClr val="FFFFFF"/>
                </a:solidFill>
              </a:ln>
            </c:spPr>
            <c:extLst>
              <c:ext xmlns:c16="http://schemas.microsoft.com/office/drawing/2014/chart" uri="{C3380CC4-5D6E-409C-BE32-E72D297353CC}">
                <c16:uniqueId val="{00000005-0DC0-4B42-8E6F-9D969AED5C3C}"/>
              </c:ext>
            </c:extLst>
          </c:dPt>
          <c:dPt>
            <c:idx val="3"/>
            <c:bubble3D val="0"/>
            <c:spPr>
              <a:solidFill>
                <a:srgbClr val="C1D119"/>
              </a:solidFill>
              <a:ln>
                <a:solidFill>
                  <a:srgbClr val="FFFFFF"/>
                </a:solidFill>
              </a:ln>
            </c:spPr>
            <c:extLst>
              <c:ext xmlns:c16="http://schemas.microsoft.com/office/drawing/2014/chart" uri="{C3380CC4-5D6E-409C-BE32-E72D297353CC}">
                <c16:uniqueId val="{00000007-0DC0-4B42-8E6F-9D969AED5C3C}"/>
              </c:ext>
            </c:extLst>
          </c:dPt>
          <c:dPt>
            <c:idx val="4"/>
            <c:bubble3D val="0"/>
            <c:spPr>
              <a:solidFill>
                <a:srgbClr val="E84A38"/>
              </a:solidFill>
              <a:ln>
                <a:solidFill>
                  <a:srgbClr val="FFFFFF"/>
                </a:solidFill>
              </a:ln>
            </c:spPr>
            <c:extLst>
              <c:ext xmlns:c16="http://schemas.microsoft.com/office/drawing/2014/chart" uri="{C3380CC4-5D6E-409C-BE32-E72D297353CC}">
                <c16:uniqueId val="{00000009-0DC0-4B42-8E6F-9D969AED5C3C}"/>
              </c:ext>
            </c:extLst>
          </c:dPt>
          <c:dPt>
            <c:idx val="5"/>
            <c:bubble3D val="0"/>
            <c:spPr>
              <a:solidFill>
                <a:srgbClr val="55585A"/>
              </a:solidFill>
              <a:ln>
                <a:solidFill>
                  <a:srgbClr val="FFFFFF"/>
                </a:solidFill>
              </a:ln>
            </c:spPr>
            <c:extLst>
              <c:ext xmlns:c16="http://schemas.microsoft.com/office/drawing/2014/chart" uri="{C3380CC4-5D6E-409C-BE32-E72D297353CC}">
                <c16:uniqueId val="{0000000B-0DC0-4B42-8E6F-9D969AED5C3C}"/>
              </c:ext>
            </c:extLst>
          </c:dPt>
          <c:cat>
            <c:strRef>
              <c:f>'Pots and traps 10-12m'!$G$77:$G$82</c:f>
              <c:strCache>
                <c:ptCount val="6"/>
                <c:pt idx="0">
                  <c:v>Brown Crab - 35.7%</c:v>
                </c:pt>
                <c:pt idx="1">
                  <c:v>Lobsters - 27.5%</c:v>
                </c:pt>
                <c:pt idx="2">
                  <c:v>Nephrops - 17.5%</c:v>
                </c:pt>
                <c:pt idx="3">
                  <c:v>Whelks - 12.9%</c:v>
                </c:pt>
                <c:pt idx="4">
                  <c:v>Velvet Crab - 2.1%</c:v>
                </c:pt>
                <c:pt idx="5">
                  <c:v>Others - 4.4%</c:v>
                </c:pt>
              </c:strCache>
            </c:strRef>
          </c:cat>
          <c:val>
            <c:numRef>
              <c:f>'Pots and traps 10-12m'!$H$77:$H$82</c:f>
              <c:numCache>
                <c:formatCode>0.0%</c:formatCode>
                <c:ptCount val="6"/>
                <c:pt idx="0">
                  <c:v>0.35685179938292405</c:v>
                </c:pt>
                <c:pt idx="1">
                  <c:v>0.27487875230571979</c:v>
                </c:pt>
                <c:pt idx="2">
                  <c:v>0.17454297323087703</c:v>
                </c:pt>
                <c:pt idx="3">
                  <c:v>0.12903209317472189</c:v>
                </c:pt>
                <c:pt idx="4">
                  <c:v>2.1120095889275312E-2</c:v>
                </c:pt>
                <c:pt idx="5">
                  <c:v>4.3574286016482056E-2</c:v>
                </c:pt>
              </c:numCache>
            </c:numRef>
          </c:val>
          <c:extLst>
            <c:ext xmlns:c16="http://schemas.microsoft.com/office/drawing/2014/chart" uri="{C3380CC4-5D6E-409C-BE32-E72D297353CC}">
              <c16:uniqueId val="{0000000C-0DC0-4B42-8E6F-9D969AED5C3C}"/>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10-12m'!$K$77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'Pots and traps 10-12m'!$C$92</c:f>
              <c:strCache>
                <c:ptCount val="1"/>
                <c:pt idx="0">
                  <c:v>Brown Crab</c:v>
                </c:pt>
              </c:strCache>
            </c:strRef>
          </c:tx>
          <c:spPr>
            <a:solidFill>
              <a:srgbClr val="2273B9"/>
            </a:solidFill>
            <a:ln>
              <a:solidFill>
                <a:srgbClr val="FFFFFF"/>
              </a:solidFill>
            </a:ln>
          </c:spPr>
          <c:invertIfNegative val="0"/>
          <c:cat>
            <c:numRef>
              <c:f>'Pots and traps 10-12m'!$D$91:$M$91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'Pots and traps 10-12m'!$D$92:$M$92</c:f>
              <c:numCache>
                <c:formatCode>0%</c:formatCode>
                <c:ptCount val="10"/>
                <c:pt idx="0">
                  <c:v>0.27292553811358239</c:v>
                </c:pt>
                <c:pt idx="1">
                  <c:v>0.30345682435653804</c:v>
                </c:pt>
                <c:pt idx="2">
                  <c:v>0.27963510888633242</c:v>
                </c:pt>
                <c:pt idx="3">
                  <c:v>0.29534193075888704</c:v>
                </c:pt>
                <c:pt idx="4">
                  <c:v>0.2392915715756935</c:v>
                </c:pt>
                <c:pt idx="5">
                  <c:v>0.26074197936443627</c:v>
                </c:pt>
                <c:pt idx="6">
                  <c:v>0.28664376251781215</c:v>
                </c:pt>
                <c:pt idx="7">
                  <c:v>0.35610866888787479</c:v>
                </c:pt>
                <c:pt idx="8">
                  <c:v>0.35685179938292405</c:v>
                </c:pt>
                <c:pt idx="9">
                  <c:v>0.24778530262189857</c:v>
                </c:pt>
              </c:numCache>
            </c:numRef>
          </c:val>
          <c:extLst>
            <c:ext xmlns:c16="http://schemas.microsoft.com/office/drawing/2014/chart" uri="{C3380CC4-5D6E-409C-BE32-E72D297353CC}">
              <c16:uniqueId val="{00000000-A77B-49EB-9249-DE6379399244}"/>
            </c:ext>
          </c:extLst>
        </c:ser>
        <c:ser>
          <c:idx val="1"/>
          <c:order val="1"/>
          <c:tx>
            <c:strRef>
              <c:f>'Pots and traps 10-12m'!$C$93</c:f>
              <c:strCache>
                <c:ptCount val="1"/>
                <c:pt idx="0">
                  <c:v>Lobsters</c:v>
                </c:pt>
              </c:strCache>
            </c:strRef>
          </c:tx>
          <c:spPr>
            <a:solidFill>
              <a:srgbClr val="E87308"/>
            </a:solidFill>
            <a:ln>
              <a:solidFill>
                <a:srgbClr val="FFFFFF"/>
              </a:solidFill>
            </a:ln>
          </c:spPr>
          <c:invertIfNegative val="0"/>
          <c:cat>
            <c:numRef>
              <c:f>'Pots and traps 10-12m'!$D$91:$M$91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'Pots and traps 10-12m'!$D$93:$M$93</c:f>
              <c:numCache>
                <c:formatCode>0%</c:formatCode>
                <c:ptCount val="10"/>
                <c:pt idx="0">
                  <c:v>0.2870281396380947</c:v>
                </c:pt>
                <c:pt idx="1">
                  <c:v>0.28905276002618618</c:v>
                </c:pt>
                <c:pt idx="2">
                  <c:v>0.29055980856990427</c:v>
                </c:pt>
                <c:pt idx="3">
                  <c:v>0.2786689503545382</c:v>
                </c:pt>
                <c:pt idx="4">
                  <c:v>0.28195074395456021</c:v>
                </c:pt>
                <c:pt idx="5">
                  <c:v>0.27612524046021036</c:v>
                </c:pt>
                <c:pt idx="6">
                  <c:v>0.28881057966249024</c:v>
                </c:pt>
                <c:pt idx="7">
                  <c:v>0.27653088037495915</c:v>
                </c:pt>
                <c:pt idx="8">
                  <c:v>0.27487875230571979</c:v>
                </c:pt>
                <c:pt idx="9">
                  <c:v>0.30997770751611819</c:v>
                </c:pt>
              </c:numCache>
            </c:numRef>
          </c:val>
          <c:extLst>
            <c:ext xmlns:c16="http://schemas.microsoft.com/office/drawing/2014/chart" uri="{C3380CC4-5D6E-409C-BE32-E72D297353CC}">
              <c16:uniqueId val="{00000001-A77B-49EB-9249-DE6379399244}"/>
            </c:ext>
          </c:extLst>
        </c:ser>
        <c:ser>
          <c:idx val="2"/>
          <c:order val="2"/>
          <c:tx>
            <c:strRef>
              <c:f>'Pots and traps 10-12m'!$C$94</c:f>
              <c:strCache>
                <c:ptCount val="1"/>
                <c:pt idx="0">
                  <c:v>Nephrops</c:v>
                </c:pt>
              </c:strCache>
            </c:strRef>
          </c:tx>
          <c:spPr>
            <a:solidFill>
              <a:srgbClr val="648C2E"/>
            </a:solidFill>
            <a:ln>
              <a:solidFill>
                <a:srgbClr val="FFFFFF"/>
              </a:solidFill>
            </a:ln>
          </c:spPr>
          <c:invertIfNegative val="0"/>
          <c:cat>
            <c:numRef>
              <c:f>'Pots and traps 10-12m'!$D$91:$M$91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'Pots and traps 10-12m'!$D$94:$M$94</c:f>
              <c:numCache>
                <c:formatCode>0%</c:formatCode>
                <c:ptCount val="10"/>
                <c:pt idx="0">
                  <c:v>0.23185874102462212</c:v>
                </c:pt>
                <c:pt idx="1">
                  <c:v>0.21573275756796764</c:v>
                </c:pt>
                <c:pt idx="2">
                  <c:v>0.22001879956252138</c:v>
                </c:pt>
                <c:pt idx="3">
                  <c:v>0.20124406961519797</c:v>
                </c:pt>
                <c:pt idx="4">
                  <c:v>0.22509449096632383</c:v>
                </c:pt>
                <c:pt idx="5">
                  <c:v>0.18852501413519521</c:v>
                </c:pt>
                <c:pt idx="6">
                  <c:v>0.17690576274987524</c:v>
                </c:pt>
                <c:pt idx="7">
                  <c:v>0.15963989594755146</c:v>
                </c:pt>
                <c:pt idx="8">
                  <c:v>0.17454297323087703</c:v>
                </c:pt>
                <c:pt idx="9">
                  <c:v>0.17745787377444538</c:v>
                </c:pt>
              </c:numCache>
            </c:numRef>
          </c:val>
          <c:extLst>
            <c:ext xmlns:c16="http://schemas.microsoft.com/office/drawing/2014/chart" uri="{C3380CC4-5D6E-409C-BE32-E72D297353CC}">
              <c16:uniqueId val="{00000002-A77B-49EB-9249-DE6379399244}"/>
            </c:ext>
          </c:extLst>
        </c:ser>
        <c:ser>
          <c:idx val="3"/>
          <c:order val="3"/>
          <c:tx>
            <c:strRef>
              <c:f>'Pots and traps 10-12m'!$C$95</c:f>
              <c:strCache>
                <c:ptCount val="1"/>
                <c:pt idx="0">
                  <c:v>Whelks</c:v>
                </c:pt>
              </c:strCache>
            </c:strRef>
          </c:tx>
          <c:spPr>
            <a:solidFill>
              <a:srgbClr val="C1D119"/>
            </a:solidFill>
            <a:ln>
              <a:solidFill>
                <a:srgbClr val="FFFFFF"/>
              </a:solidFill>
            </a:ln>
          </c:spPr>
          <c:invertIfNegative val="0"/>
          <c:cat>
            <c:numRef>
              <c:f>'Pots and traps 10-12m'!$D$91:$M$91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'Pots and traps 10-12m'!$D$95:$M$95</c:f>
              <c:numCache>
                <c:formatCode>0%</c:formatCode>
                <c:ptCount val="10"/>
                <c:pt idx="0">
                  <c:v>9.7897487811884079E-2</c:v>
                </c:pt>
                <c:pt idx="1">
                  <c:v>0.10513912221833092</c:v>
                </c:pt>
                <c:pt idx="2">
                  <c:v>0.12550659003101039</c:v>
                </c:pt>
                <c:pt idx="3">
                  <c:v>0.14715178025286124</c:v>
                </c:pt>
                <c:pt idx="4">
                  <c:v>0.18638991569836347</c:v>
                </c:pt>
                <c:pt idx="5">
                  <c:v>0.21150720237268913</c:v>
                </c:pt>
                <c:pt idx="6">
                  <c:v>0.1886334457914583</c:v>
                </c:pt>
                <c:pt idx="7">
                  <c:v>0.15683679034065331</c:v>
                </c:pt>
                <c:pt idx="8">
                  <c:v>0.12903209317472189</c:v>
                </c:pt>
                <c:pt idx="9">
                  <c:v>0.19355120681283339</c:v>
                </c:pt>
              </c:numCache>
            </c:numRef>
          </c:val>
          <c:extLst>
            <c:ext xmlns:c16="http://schemas.microsoft.com/office/drawing/2014/chart" uri="{C3380CC4-5D6E-409C-BE32-E72D297353CC}">
              <c16:uniqueId val="{00000003-A77B-49EB-9249-DE6379399244}"/>
            </c:ext>
          </c:extLst>
        </c:ser>
        <c:ser>
          <c:idx val="4"/>
          <c:order val="4"/>
          <c:tx>
            <c:strRef>
              <c:f>'Pots and traps 10-12m'!$C$96</c:f>
              <c:strCache>
                <c:ptCount val="1"/>
                <c:pt idx="0">
                  <c:v>Velvet Crab</c:v>
                </c:pt>
              </c:strCache>
            </c:strRef>
          </c:tx>
          <c:spPr>
            <a:solidFill>
              <a:srgbClr val="E84A38"/>
            </a:solidFill>
            <a:ln>
              <a:solidFill>
                <a:srgbClr val="FFFFFF"/>
              </a:solidFill>
            </a:ln>
          </c:spPr>
          <c:invertIfNegative val="0"/>
          <c:cat>
            <c:numRef>
              <c:f>'Pots and traps 10-12m'!$D$91:$M$91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'Pots and traps 10-12m'!$D$96:$M$96</c:f>
              <c:numCache>
                <c:formatCode>0%</c:formatCode>
                <c:ptCount val="10"/>
                <c:pt idx="0">
                  <c:v>6.6614021214740596E-2</c:v>
                </c:pt>
                <c:pt idx="1">
                  <c:v>4.172902261504241E-2</c:v>
                </c:pt>
                <c:pt idx="2">
                  <c:v>4.2673539086851703E-2</c:v>
                </c:pt>
                <c:pt idx="3">
                  <c:v>4.241261186742562E-2</c:v>
                </c:pt>
                <c:pt idx="4">
                  <c:v>3.9869304856334088E-2</c:v>
                </c:pt>
                <c:pt idx="5">
                  <c:v>2.9449429593776548E-2</c:v>
                </c:pt>
                <c:pt idx="6">
                  <c:v>2.7005484016674696E-2</c:v>
                </c:pt>
                <c:pt idx="7">
                  <c:v>1.7046427841617192E-2</c:v>
                </c:pt>
                <c:pt idx="8">
                  <c:v>2.1120095889275312E-2</c:v>
                </c:pt>
                <c:pt idx="9">
                  <c:v>2.5934110713336775E-2</c:v>
                </c:pt>
              </c:numCache>
            </c:numRef>
          </c:val>
          <c:extLst>
            <c:ext xmlns:c16="http://schemas.microsoft.com/office/drawing/2014/chart" uri="{C3380CC4-5D6E-409C-BE32-E72D297353CC}">
              <c16:uniqueId val="{00000004-A77B-49EB-9249-DE6379399244}"/>
            </c:ext>
          </c:extLst>
        </c:ser>
        <c:ser>
          <c:idx val="5"/>
          <c:order val="5"/>
          <c:tx>
            <c:strRef>
              <c:f>'Pots and traps 10-12m'!$C$97</c:f>
              <c:strCache>
                <c:ptCount val="1"/>
                <c:pt idx="0">
                  <c:v>Others</c:v>
                </c:pt>
              </c:strCache>
            </c:strRef>
          </c:tx>
          <c:spPr>
            <a:solidFill>
              <a:srgbClr val="55585A"/>
            </a:solidFill>
            <a:ln>
              <a:solidFill>
                <a:srgbClr val="FFFFFF"/>
              </a:solidFill>
            </a:ln>
          </c:spPr>
          <c:invertIfNegative val="0"/>
          <c:cat>
            <c:numRef>
              <c:f>'Pots and traps 10-12m'!$D$91:$M$91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'Pots and traps 10-12m'!$D$97:$M$97</c:f>
              <c:numCache>
                <c:formatCode>0%</c:formatCode>
                <c:ptCount val="10"/>
                <c:pt idx="0">
                  <c:v>4.3676072197076088E-2</c:v>
                </c:pt>
                <c:pt idx="1">
                  <c:v>4.4889513215934845E-2</c:v>
                </c:pt>
                <c:pt idx="2">
                  <c:v>4.1606153863379867E-2</c:v>
                </c:pt>
                <c:pt idx="3">
                  <c:v>3.5180657151089902E-2</c:v>
                </c:pt>
                <c:pt idx="4">
                  <c:v>2.7403972948724899E-2</c:v>
                </c:pt>
                <c:pt idx="5">
                  <c:v>3.3651134073692426E-2</c:v>
                </c:pt>
                <c:pt idx="6">
                  <c:v>3.2000965261689371E-2</c:v>
                </c:pt>
                <c:pt idx="7">
                  <c:v>3.3837336607344094E-2</c:v>
                </c:pt>
                <c:pt idx="8">
                  <c:v>4.3574286016481917E-2</c:v>
                </c:pt>
                <c:pt idx="9">
                  <c:v>4.5293798561367705E-2</c:v>
                </c:pt>
              </c:numCache>
            </c:numRef>
          </c:val>
          <c:extLst>
            <c:ext xmlns:c16="http://schemas.microsoft.com/office/drawing/2014/chart" uri="{C3380CC4-5D6E-409C-BE32-E72D297353CC}">
              <c16:uniqueId val="{00000005-A77B-49EB-9249-DE6379399244}"/>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'Pots and traps 10-12m'!$B$162</c:f>
              <c:strCache>
                <c:ptCount val="1"/>
                <c:pt idx="0">
                  <c:v>Brown Crab</c:v>
                </c:pt>
              </c:strCache>
            </c:strRef>
          </c:tx>
          <c:spPr>
            <a:solidFill>
              <a:srgbClr val="2273B9"/>
            </a:solidFill>
            <a:ln>
              <a:solidFill>
                <a:srgbClr val="FFFFFF"/>
              </a:solidFill>
            </a:ln>
          </c:spPr>
          <c:invertIfNegative val="0"/>
          <c:cat>
            <c:strRef>
              <c:f>'Pots and traps 10-12m'!$C$161:$E$161</c:f>
              <c:strCache>
                <c:ptCount val="3"/>
                <c:pt idx="0">
                  <c:v>Most
profitable
quartile</c:v>
                </c:pt>
                <c:pt idx="1">
                  <c:v>Middle 
two quartiles</c:v>
                </c:pt>
                <c:pt idx="2">
                  <c:v>Least
profitable
quartile</c:v>
                </c:pt>
              </c:strCache>
            </c:strRef>
          </c:cat>
          <c:val>
            <c:numRef>
              <c:f>'Pots and traps 10-12m'!$C$162:$E$162</c:f>
              <c:numCache>
                <c:formatCode>0%</c:formatCode>
                <c:ptCount val="3"/>
                <c:pt idx="0">
                  <c:v>0.59873398490147312</c:v>
                </c:pt>
                <c:pt idx="1">
                  <c:v>0.42525074479548919</c:v>
                </c:pt>
                <c:pt idx="2">
                  <c:v>0.36943442947941924</c:v>
                </c:pt>
              </c:numCache>
            </c:numRef>
          </c:val>
          <c:extLst>
            <c:ext xmlns:c16="http://schemas.microsoft.com/office/drawing/2014/chart" uri="{C3380CC4-5D6E-409C-BE32-E72D297353CC}">
              <c16:uniqueId val="{00000000-5D01-44E3-864F-5E7EFA1657AA}"/>
            </c:ext>
          </c:extLst>
        </c:ser>
        <c:ser>
          <c:idx val="1"/>
          <c:order val="1"/>
          <c:tx>
            <c:strRef>
              <c:f>'Pots and traps 10-12m'!$B$163</c:f>
              <c:strCache>
                <c:ptCount val="1"/>
                <c:pt idx="0">
                  <c:v>Whelks</c:v>
                </c:pt>
              </c:strCache>
            </c:strRef>
          </c:tx>
          <c:spPr>
            <a:solidFill>
              <a:srgbClr val="C1D119"/>
            </a:solidFill>
            <a:ln>
              <a:solidFill>
                <a:srgbClr val="FFFFFF"/>
              </a:solidFill>
            </a:ln>
          </c:spPr>
          <c:invertIfNegative val="0"/>
          <c:cat>
            <c:strRef>
              <c:f>'Pots and traps 10-12m'!$C$161:$E$161</c:f>
              <c:strCache>
                <c:ptCount val="3"/>
                <c:pt idx="0">
                  <c:v>Most
profitable
quartile</c:v>
                </c:pt>
                <c:pt idx="1">
                  <c:v>Middle 
two quartiles</c:v>
                </c:pt>
                <c:pt idx="2">
                  <c:v>Least
profitable
quartile</c:v>
                </c:pt>
              </c:strCache>
            </c:strRef>
          </c:cat>
          <c:val>
            <c:numRef>
              <c:f>'Pots and traps 10-12m'!$C$163:$E$163</c:f>
              <c:numCache>
                <c:formatCode>0%</c:formatCode>
                <c:ptCount val="3"/>
                <c:pt idx="0">
                  <c:v>0.25515538025667334</c:v>
                </c:pt>
                <c:pt idx="1">
                  <c:v>0.34804685135654839</c:v>
                </c:pt>
                <c:pt idx="2">
                  <c:v>0.37415751560474281</c:v>
                </c:pt>
              </c:numCache>
            </c:numRef>
          </c:val>
          <c:extLst>
            <c:ext xmlns:c16="http://schemas.microsoft.com/office/drawing/2014/chart" uri="{C3380CC4-5D6E-409C-BE32-E72D297353CC}">
              <c16:uniqueId val="{00000001-5D01-44E3-864F-5E7EFA1657AA}"/>
            </c:ext>
          </c:extLst>
        </c:ser>
        <c:ser>
          <c:idx val="2"/>
          <c:order val="2"/>
          <c:tx>
            <c:strRef>
              <c:f>'Pots and traps 10-12m'!$B$164</c:f>
              <c:strCache>
                <c:ptCount val="1"/>
                <c:pt idx="0">
                  <c:v>Nephrops</c:v>
                </c:pt>
              </c:strCache>
            </c:strRef>
          </c:tx>
          <c:spPr>
            <a:solidFill>
              <a:srgbClr val="648C2E"/>
            </a:solidFill>
            <a:ln>
              <a:solidFill>
                <a:srgbClr val="FFFFFF"/>
              </a:solidFill>
            </a:ln>
          </c:spPr>
          <c:invertIfNegative val="0"/>
          <c:cat>
            <c:strRef>
              <c:f>'Pots and traps 10-12m'!$C$161:$E$161</c:f>
              <c:strCache>
                <c:ptCount val="3"/>
                <c:pt idx="0">
                  <c:v>Most
profitable
quartile</c:v>
                </c:pt>
                <c:pt idx="1">
                  <c:v>Middle 
two quartiles</c:v>
                </c:pt>
                <c:pt idx="2">
                  <c:v>Least
profitable
quartile</c:v>
                </c:pt>
              </c:strCache>
            </c:strRef>
          </c:cat>
          <c:val>
            <c:numRef>
              <c:f>'Pots and traps 10-12m'!$C$164:$E$164</c:f>
              <c:numCache>
                <c:formatCode>0%</c:formatCode>
                <c:ptCount val="3"/>
                <c:pt idx="0">
                  <c:v>2.0185795318376044E-2</c:v>
                </c:pt>
                <c:pt idx="1">
                  <c:v>6.6934312512294494E-2</c:v>
                </c:pt>
                <c:pt idx="2">
                  <c:v>6.0703704388613076E-2</c:v>
                </c:pt>
              </c:numCache>
            </c:numRef>
          </c:val>
          <c:extLst>
            <c:ext xmlns:c16="http://schemas.microsoft.com/office/drawing/2014/chart" uri="{C3380CC4-5D6E-409C-BE32-E72D297353CC}">
              <c16:uniqueId val="{00000002-5D01-44E3-864F-5E7EFA1657AA}"/>
            </c:ext>
          </c:extLst>
        </c:ser>
        <c:ser>
          <c:idx val="3"/>
          <c:order val="3"/>
          <c:tx>
            <c:strRef>
              <c:f>'Pots and traps 10-12m'!$B$165</c:f>
              <c:strCache>
                <c:ptCount val="1"/>
                <c:pt idx="0">
                  <c:v>Pilchards</c:v>
                </c:pt>
              </c:strCache>
            </c:strRef>
          </c:tx>
          <c:spPr>
            <a:solidFill>
              <a:srgbClr val="0F9AA9"/>
            </a:solidFill>
            <a:ln>
              <a:solidFill>
                <a:srgbClr val="FFFFFF"/>
              </a:solidFill>
            </a:ln>
          </c:spPr>
          <c:invertIfNegative val="0"/>
          <c:cat>
            <c:strRef>
              <c:f>'Pots and traps 10-12m'!$C$161:$E$161</c:f>
              <c:strCache>
                <c:ptCount val="3"/>
                <c:pt idx="0">
                  <c:v>Most
profitable
quartile</c:v>
                </c:pt>
                <c:pt idx="1">
                  <c:v>Middle 
two quartiles</c:v>
                </c:pt>
                <c:pt idx="2">
                  <c:v>Least
profitable
quartile</c:v>
                </c:pt>
              </c:strCache>
            </c:strRef>
          </c:cat>
          <c:val>
            <c:numRef>
              <c:f>'Pots and traps 10-12m'!$C$165:$E$165</c:f>
              <c:numCache>
                <c:formatCode>0%</c:formatCode>
                <c:ptCount val="3"/>
                <c:pt idx="0">
                  <c:v>0</c:v>
                </c:pt>
                <c:pt idx="1">
                  <c:v>6.0756547998338517E-2</c:v>
                </c:pt>
                <c:pt idx="2">
                  <c:v>0</c:v>
                </c:pt>
              </c:numCache>
            </c:numRef>
          </c:val>
          <c:extLst>
            <c:ext xmlns:c16="http://schemas.microsoft.com/office/drawing/2014/chart" uri="{C3380CC4-5D6E-409C-BE32-E72D297353CC}">
              <c16:uniqueId val="{00000003-5D01-44E3-864F-5E7EFA1657AA}"/>
            </c:ext>
          </c:extLst>
        </c:ser>
        <c:ser>
          <c:idx val="4"/>
          <c:order val="4"/>
          <c:tx>
            <c:strRef>
              <c:f>'Pots and traps 10-12m'!$B$166</c:f>
              <c:strCache>
                <c:ptCount val="1"/>
                <c:pt idx="0">
                  <c:v>Lobsters</c:v>
                </c:pt>
              </c:strCache>
            </c:strRef>
          </c:tx>
          <c:spPr>
            <a:solidFill>
              <a:srgbClr val="E87308"/>
            </a:solidFill>
            <a:ln>
              <a:solidFill>
                <a:srgbClr val="FFFFFF"/>
              </a:solidFill>
            </a:ln>
          </c:spPr>
          <c:invertIfNegative val="0"/>
          <c:cat>
            <c:strRef>
              <c:f>'Pots and traps 10-12m'!$C$161:$E$161</c:f>
              <c:strCache>
                <c:ptCount val="3"/>
                <c:pt idx="0">
                  <c:v>Most
profitable
quartile</c:v>
                </c:pt>
                <c:pt idx="1">
                  <c:v>Middle 
two quartiles</c:v>
                </c:pt>
                <c:pt idx="2">
                  <c:v>Least
profitable
quartile</c:v>
                </c:pt>
              </c:strCache>
            </c:strRef>
          </c:cat>
          <c:val>
            <c:numRef>
              <c:f>'Pots and traps 10-12m'!$C$166:$E$166</c:f>
              <c:numCache>
                <c:formatCode>0%</c:formatCode>
                <c:ptCount val="3"/>
                <c:pt idx="0">
                  <c:v>7.7375141643997253E-2</c:v>
                </c:pt>
                <c:pt idx="1">
                  <c:v>5.3640844503017163E-2</c:v>
                </c:pt>
                <c:pt idx="2">
                  <c:v>5.7073512329139264E-2</c:v>
                </c:pt>
              </c:numCache>
            </c:numRef>
          </c:val>
          <c:extLst>
            <c:ext xmlns:c16="http://schemas.microsoft.com/office/drawing/2014/chart" uri="{C3380CC4-5D6E-409C-BE32-E72D297353CC}">
              <c16:uniqueId val="{00000004-5D01-44E3-864F-5E7EFA1657AA}"/>
            </c:ext>
          </c:extLst>
        </c:ser>
        <c:ser>
          <c:idx val="5"/>
          <c:order val="5"/>
          <c:tx>
            <c:strRef>
              <c:f>'Pots and traps 10-12m'!$B$167</c:f>
              <c:strCache>
                <c:ptCount val="1"/>
                <c:pt idx="0">
                  <c:v>Velvet Crab</c:v>
                </c:pt>
              </c:strCache>
            </c:strRef>
          </c:tx>
          <c:spPr>
            <a:solidFill>
              <a:srgbClr val="E84A38"/>
            </a:solidFill>
            <a:ln>
              <a:solidFill>
                <a:srgbClr val="FFFFFF"/>
              </a:solidFill>
            </a:ln>
          </c:spPr>
          <c:invertIfNegative val="0"/>
          <c:cat>
            <c:strRef>
              <c:f>'Pots and traps 10-12m'!$C$161:$E$161</c:f>
              <c:strCache>
                <c:ptCount val="3"/>
                <c:pt idx="0">
                  <c:v>Most
profitable
quartile</c:v>
                </c:pt>
                <c:pt idx="1">
                  <c:v>Middle 
two quartiles</c:v>
                </c:pt>
                <c:pt idx="2">
                  <c:v>Least
profitable
quartile</c:v>
                </c:pt>
              </c:strCache>
            </c:strRef>
          </c:cat>
          <c:val>
            <c:numRef>
              <c:f>'Pots and traps 10-12m'!$C$167:$E$167</c:f>
              <c:numCache>
                <c:formatCode>0%</c:formatCode>
                <c:ptCount val="3"/>
                <c:pt idx="0">
                  <c:v>1.5191178488411533E-2</c:v>
                </c:pt>
                <c:pt idx="1">
                  <c:v>0</c:v>
                </c:pt>
                <c:pt idx="2">
                  <c:v>7.8326254428030831E-2</c:v>
                </c:pt>
              </c:numCache>
            </c:numRef>
          </c:val>
          <c:extLst>
            <c:ext xmlns:c16="http://schemas.microsoft.com/office/drawing/2014/chart" uri="{C3380CC4-5D6E-409C-BE32-E72D297353CC}">
              <c16:uniqueId val="{00000005-5D01-44E3-864F-5E7EFA1657AA}"/>
            </c:ext>
          </c:extLst>
        </c:ser>
        <c:ser>
          <c:idx val="6"/>
          <c:order val="6"/>
          <c:tx>
            <c:strRef>
              <c:f>'Pots and traps 10-12m'!$B$168</c:f>
              <c:strCache>
                <c:ptCount val="1"/>
                <c:pt idx="0">
                  <c:v>Others</c:v>
                </c:pt>
              </c:strCache>
            </c:strRef>
          </c:tx>
          <c:spPr>
            <a:solidFill>
              <a:srgbClr val="55585A"/>
            </a:solidFill>
            <a:ln>
              <a:solidFill>
                <a:srgbClr val="FFFFFF"/>
              </a:solidFill>
            </a:ln>
          </c:spPr>
          <c:invertIfNegative val="0"/>
          <c:cat>
            <c:strRef>
              <c:f>'Pots and traps 10-12m'!$C$161:$E$161</c:f>
              <c:strCache>
                <c:ptCount val="3"/>
                <c:pt idx="0">
                  <c:v>Most
profitable
quartile</c:v>
                </c:pt>
                <c:pt idx="1">
                  <c:v>Middle 
two quartiles</c:v>
                </c:pt>
                <c:pt idx="2">
                  <c:v>Least
profitable
quartile</c:v>
                </c:pt>
              </c:strCache>
            </c:strRef>
          </c:cat>
          <c:val>
            <c:numRef>
              <c:f>'Pots and traps 10-12m'!$C$168:$E$168</c:f>
              <c:numCache>
                <c:formatCode>0%</c:formatCode>
                <c:ptCount val="3"/>
                <c:pt idx="0">
                  <c:v>3.3358519391068597E-2</c:v>
                </c:pt>
                <c:pt idx="1">
                  <c:v>4.5370698834312106E-2</c:v>
                </c:pt>
                <c:pt idx="2">
                  <c:v>6.0304583770054765E-2</c:v>
                </c:pt>
              </c:numCache>
            </c:numRef>
          </c:val>
          <c:extLst>
            <c:ext xmlns:c16="http://schemas.microsoft.com/office/drawing/2014/chart" uri="{C3380CC4-5D6E-409C-BE32-E72D297353CC}">
              <c16:uniqueId val="{00000006-5D01-44E3-864F-5E7EFA1657AA}"/>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'Pots and traps 10-12m'!$H$162</c:f>
              <c:strCache>
                <c:ptCount val="1"/>
                <c:pt idx="0">
                  <c:v>Brown Crab</c:v>
                </c:pt>
              </c:strCache>
            </c:strRef>
          </c:tx>
          <c:spPr>
            <a:solidFill>
              <a:srgbClr val="2273B9"/>
            </a:solidFill>
            <a:ln>
              <a:solidFill>
                <a:srgbClr val="FFFFFF"/>
              </a:solidFill>
            </a:ln>
          </c:spPr>
          <c:invertIfNegative val="0"/>
          <c:cat>
            <c:strRef>
              <c:f>'Pots and traps 10-12m'!$I$161:$K$161</c:f>
              <c:strCache>
                <c:ptCount val="3"/>
                <c:pt idx="0">
                  <c:v>Most
profitable
quartile</c:v>
                </c:pt>
                <c:pt idx="1">
                  <c:v>Middle 
two quartiles</c:v>
                </c:pt>
                <c:pt idx="2">
                  <c:v>Least
profitable
quartile</c:v>
                </c:pt>
              </c:strCache>
            </c:strRef>
          </c:cat>
          <c:val>
            <c:numRef>
              <c:f>'Pots and traps 10-12m'!$I$162:$K$162</c:f>
              <c:numCache>
                <c:formatCode>0%</c:formatCode>
                <c:ptCount val="3"/>
                <c:pt idx="0">
                  <c:v>0.44014301041554627</c:v>
                </c:pt>
                <c:pt idx="1">
                  <c:v>0.315707652648967</c:v>
                </c:pt>
                <c:pt idx="2">
                  <c:v>0.2570483135534955</c:v>
                </c:pt>
              </c:numCache>
            </c:numRef>
          </c:val>
          <c:extLst>
            <c:ext xmlns:c16="http://schemas.microsoft.com/office/drawing/2014/chart" uri="{C3380CC4-5D6E-409C-BE32-E72D297353CC}">
              <c16:uniqueId val="{00000000-2A40-49F3-8402-AC7DC8DDAEF4}"/>
            </c:ext>
          </c:extLst>
        </c:ser>
        <c:ser>
          <c:idx val="1"/>
          <c:order val="1"/>
          <c:tx>
            <c:strRef>
              <c:f>'Pots and traps 10-12m'!$H$163</c:f>
              <c:strCache>
                <c:ptCount val="1"/>
                <c:pt idx="0">
                  <c:v>Nephrops</c:v>
                </c:pt>
              </c:strCache>
            </c:strRef>
          </c:tx>
          <c:spPr>
            <a:solidFill>
              <a:srgbClr val="648C2E"/>
            </a:solidFill>
            <a:ln>
              <a:solidFill>
                <a:srgbClr val="FFFFFF"/>
              </a:solidFill>
            </a:ln>
          </c:spPr>
          <c:invertIfNegative val="0"/>
          <c:cat>
            <c:strRef>
              <c:f>'Pots and traps 10-12m'!$I$161:$K$161</c:f>
              <c:strCache>
                <c:ptCount val="3"/>
                <c:pt idx="0">
                  <c:v>Most
profitable
quartile</c:v>
                </c:pt>
                <c:pt idx="1">
                  <c:v>Middle 
two quartiles</c:v>
                </c:pt>
                <c:pt idx="2">
                  <c:v>Least
profitable
quartile</c:v>
                </c:pt>
              </c:strCache>
            </c:strRef>
          </c:cat>
          <c:val>
            <c:numRef>
              <c:f>'Pots and traps 10-12m'!$I$163:$K$163</c:f>
              <c:numCache>
                <c:formatCode>0%</c:formatCode>
                <c:ptCount val="3"/>
                <c:pt idx="0">
                  <c:v>7.7792011750501225E-2</c:v>
                </c:pt>
                <c:pt idx="1">
                  <c:v>0.2442887242723592</c:v>
                </c:pt>
                <c:pt idx="2">
                  <c:v>0.21625524791439352</c:v>
                </c:pt>
              </c:numCache>
            </c:numRef>
          </c:val>
          <c:extLst>
            <c:ext xmlns:c16="http://schemas.microsoft.com/office/drawing/2014/chart" uri="{C3380CC4-5D6E-409C-BE32-E72D297353CC}">
              <c16:uniqueId val="{00000001-2A40-49F3-8402-AC7DC8DDAEF4}"/>
            </c:ext>
          </c:extLst>
        </c:ser>
        <c:ser>
          <c:idx val="2"/>
          <c:order val="2"/>
          <c:tx>
            <c:strRef>
              <c:f>'Pots and traps 10-12m'!$H$164</c:f>
              <c:strCache>
                <c:ptCount val="1"/>
                <c:pt idx="0">
                  <c:v>Lobsters</c:v>
                </c:pt>
              </c:strCache>
            </c:strRef>
          </c:tx>
          <c:spPr>
            <a:solidFill>
              <a:srgbClr val="E87308"/>
            </a:solidFill>
            <a:ln>
              <a:solidFill>
                <a:srgbClr val="FFFFFF"/>
              </a:solidFill>
            </a:ln>
          </c:spPr>
          <c:invertIfNegative val="0"/>
          <c:cat>
            <c:strRef>
              <c:f>'Pots and traps 10-12m'!$I$161:$K$161</c:f>
              <c:strCache>
                <c:ptCount val="3"/>
                <c:pt idx="0">
                  <c:v>Most
profitable
quartile</c:v>
                </c:pt>
                <c:pt idx="1">
                  <c:v>Middle 
two quartiles</c:v>
                </c:pt>
                <c:pt idx="2">
                  <c:v>Least
profitable
quartile</c:v>
                </c:pt>
              </c:strCache>
            </c:strRef>
          </c:cat>
          <c:val>
            <c:numRef>
              <c:f>'Pots and traps 10-12m'!$I$164:$K$164</c:f>
              <c:numCache>
                <c:formatCode>0%</c:formatCode>
                <c:ptCount val="3"/>
                <c:pt idx="0">
                  <c:v>0.33328444902675219</c:v>
                </c:pt>
                <c:pt idx="1">
                  <c:v>0.23716559317600525</c:v>
                </c:pt>
                <c:pt idx="2">
                  <c:v>0.24405653488892409</c:v>
                </c:pt>
              </c:numCache>
            </c:numRef>
          </c:val>
          <c:extLst>
            <c:ext xmlns:c16="http://schemas.microsoft.com/office/drawing/2014/chart" uri="{C3380CC4-5D6E-409C-BE32-E72D297353CC}">
              <c16:uniqueId val="{00000002-2A40-49F3-8402-AC7DC8DDAEF4}"/>
            </c:ext>
          </c:extLst>
        </c:ser>
        <c:ser>
          <c:idx val="3"/>
          <c:order val="3"/>
          <c:tx>
            <c:strRef>
              <c:f>'Pots and traps 10-12m'!$H$165</c:f>
              <c:strCache>
                <c:ptCount val="1"/>
                <c:pt idx="0">
                  <c:v>Whelks</c:v>
                </c:pt>
              </c:strCache>
            </c:strRef>
          </c:tx>
          <c:spPr>
            <a:solidFill>
              <a:srgbClr val="C1D119"/>
            </a:solidFill>
            <a:ln>
              <a:solidFill>
                <a:srgbClr val="FFFFFF"/>
              </a:solidFill>
            </a:ln>
          </c:spPr>
          <c:invertIfNegative val="0"/>
          <c:cat>
            <c:strRef>
              <c:f>'Pots and traps 10-12m'!$I$161:$K$161</c:f>
              <c:strCache>
                <c:ptCount val="3"/>
                <c:pt idx="0">
                  <c:v>Most
profitable
quartile</c:v>
                </c:pt>
                <c:pt idx="1">
                  <c:v>Middle 
two quartiles</c:v>
                </c:pt>
                <c:pt idx="2">
                  <c:v>Least
profitable
quartile</c:v>
                </c:pt>
              </c:strCache>
            </c:strRef>
          </c:cat>
          <c:val>
            <c:numRef>
              <c:f>'Pots and traps 10-12m'!$I$165:$K$165</c:f>
              <c:numCache>
                <c:formatCode>0%</c:formatCode>
                <c:ptCount val="3"/>
                <c:pt idx="0">
                  <c:v>0.10555511220660951</c:v>
                </c:pt>
                <c:pt idx="1">
                  <c:v>0.14683087492024394</c:v>
                </c:pt>
                <c:pt idx="2">
                  <c:v>0.13841250148191936</c:v>
                </c:pt>
              </c:numCache>
            </c:numRef>
          </c:val>
          <c:extLst>
            <c:ext xmlns:c16="http://schemas.microsoft.com/office/drawing/2014/chart" uri="{C3380CC4-5D6E-409C-BE32-E72D297353CC}">
              <c16:uniqueId val="{00000003-2A40-49F3-8402-AC7DC8DDAEF4}"/>
            </c:ext>
          </c:extLst>
        </c:ser>
        <c:ser>
          <c:idx val="4"/>
          <c:order val="4"/>
          <c:tx>
            <c:strRef>
              <c:f>'Pots and traps 10-12m'!$H$166</c:f>
              <c:strCache>
                <c:ptCount val="1"/>
                <c:pt idx="0">
                  <c:v>Velvet Crab</c:v>
                </c:pt>
              </c:strCache>
            </c:strRef>
          </c:tx>
          <c:spPr>
            <a:solidFill>
              <a:srgbClr val="E84A38"/>
            </a:solidFill>
            <a:ln>
              <a:solidFill>
                <a:srgbClr val="FFFFFF"/>
              </a:solidFill>
            </a:ln>
          </c:spPr>
          <c:invertIfNegative val="0"/>
          <c:cat>
            <c:strRef>
              <c:f>'Pots and traps 10-12m'!$I$161:$K$161</c:f>
              <c:strCache>
                <c:ptCount val="3"/>
                <c:pt idx="0">
                  <c:v>Most
profitable
quartile</c:v>
                </c:pt>
                <c:pt idx="1">
                  <c:v>Middle 
two quartiles</c:v>
                </c:pt>
                <c:pt idx="2">
                  <c:v>Least
profitable
quartile</c:v>
                </c:pt>
              </c:strCache>
            </c:strRef>
          </c:cat>
          <c:val>
            <c:numRef>
              <c:f>'Pots and traps 10-12m'!$I$166:$K$166</c:f>
              <c:numCache>
                <c:formatCode>0%</c:formatCode>
                <c:ptCount val="3"/>
                <c:pt idx="0">
                  <c:v>0</c:v>
                </c:pt>
                <c:pt idx="1">
                  <c:v>1.7495879580238544E-2</c:v>
                </c:pt>
                <c:pt idx="2">
                  <c:v>7.244045186935083E-2</c:v>
                </c:pt>
              </c:numCache>
            </c:numRef>
          </c:val>
          <c:extLst>
            <c:ext xmlns:c16="http://schemas.microsoft.com/office/drawing/2014/chart" uri="{C3380CC4-5D6E-409C-BE32-E72D297353CC}">
              <c16:uniqueId val="{00000004-2A40-49F3-8402-AC7DC8DDAEF4}"/>
            </c:ext>
          </c:extLst>
        </c:ser>
        <c:ser>
          <c:idx val="5"/>
          <c:order val="5"/>
          <c:tx>
            <c:strRef>
              <c:f>'Pots and traps 10-12m'!$H$167</c:f>
              <c:strCache>
                <c:ptCount val="1"/>
                <c:pt idx="0">
                  <c:v>Others</c:v>
                </c:pt>
              </c:strCache>
            </c:strRef>
          </c:tx>
          <c:spPr>
            <a:solidFill>
              <a:srgbClr val="55585A"/>
            </a:solidFill>
            <a:ln>
              <a:solidFill>
                <a:srgbClr val="FFFFFF"/>
              </a:solidFill>
            </a:ln>
          </c:spPr>
          <c:invertIfNegative val="0"/>
          <c:cat>
            <c:strRef>
              <c:f>'Pots and traps 10-12m'!$I$161:$K$161</c:f>
              <c:strCache>
                <c:ptCount val="3"/>
                <c:pt idx="0">
                  <c:v>Most
profitable
quartile</c:v>
                </c:pt>
                <c:pt idx="1">
                  <c:v>Middle 
two quartiles</c:v>
                </c:pt>
                <c:pt idx="2">
                  <c:v>Least
profitable
quartile</c:v>
                </c:pt>
              </c:strCache>
            </c:strRef>
          </c:cat>
          <c:val>
            <c:numRef>
              <c:f>'Pots and traps 10-12m'!$I$167:$K$167</c:f>
              <c:numCache>
                <c:formatCode>0%</c:formatCode>
                <c:ptCount val="3"/>
                <c:pt idx="0">
                  <c:v>2.949672374424539E-2</c:v>
                </c:pt>
                <c:pt idx="1">
                  <c:v>3.8511275402186018E-2</c:v>
                </c:pt>
                <c:pt idx="2">
                  <c:v>7.1786950291916618E-2</c:v>
                </c:pt>
              </c:numCache>
            </c:numRef>
          </c:val>
          <c:extLst>
            <c:ext xmlns:c16="http://schemas.microsoft.com/office/drawing/2014/chart" uri="{C3380CC4-5D6E-409C-BE32-E72D297353CC}">
              <c16:uniqueId val="{00000005-2A40-49F3-8402-AC7DC8DDAEF4}"/>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'Area VIIa nephrops o250kW'!$K$139</c:f>
              <c:strCache>
                <c:ptCount val="1"/>
                <c:pt idx="0">
                  <c:v>Total income</c:v>
                </c:pt>
              </c:strCache>
            </c:strRef>
          </c:tx>
          <c:spPr>
            <a:solidFill>
              <a:srgbClr val="087CBB"/>
            </a:solidFill>
            <a:ln>
              <a:solidFill>
                <a:schemeClr val="accent1"/>
              </a:solidFill>
            </a:ln>
          </c:spPr>
          <c:invertIfNegative val="0"/>
          <c:cat>
            <c:strRef>
              <c:f>'Area VIIa nephrops o250kW'!$L$138:$N$138</c:f>
              <c:strCache>
                <c:ptCount val="3"/>
                <c:pt idx="0">
                  <c:v>Most
profitable
quartile</c:v>
                </c:pt>
                <c:pt idx="1">
                  <c:v>Middle
two quartiles</c:v>
                </c:pt>
                <c:pt idx="2">
                  <c:v>Least
profitable
quartile</c:v>
                </c:pt>
              </c:strCache>
            </c:strRef>
          </c:cat>
          <c:val>
            <c:numRef>
              <c:f>'Area VIIa nephrops o250kW'!$L$139:$N$139</c:f>
              <c:numCache>
                <c:formatCode>#,##0</c:formatCode>
                <c:ptCount val="3"/>
                <c:pt idx="0">
                  <c:v>635.79393749999997</c:v>
                </c:pt>
                <c:pt idx="1">
                  <c:v>469.324158333333</c:v>
                </c:pt>
                <c:pt idx="2">
                  <c:v>333.63381249999998</c:v>
                </c:pt>
              </c:numCache>
            </c:numRef>
          </c:val>
          <c:extLst>
            <c:ext xmlns:c16="http://schemas.microsoft.com/office/drawing/2014/chart" uri="{C3380CC4-5D6E-409C-BE32-E72D297353CC}">
              <c16:uniqueId val="{00000000-3E60-4DB8-9579-3DAB8B904B75}"/>
            </c:ext>
          </c:extLst>
        </c:ser>
        <c:ser>
          <c:idx val="1"/>
          <c:order val="1"/>
          <c:tx>
            <c:strRef>
              <c:f>'Area VIIa nephrops o250kW'!$K$140</c:f>
              <c:strCache>
                <c:ptCount val="1"/>
                <c:pt idx="0">
                  <c:v>Operating costs</c:v>
                </c:pt>
              </c:strCache>
            </c:strRef>
          </c:tx>
          <c:spPr>
            <a:solidFill>
              <a:srgbClr val="E87308"/>
            </a:solidFill>
          </c:spPr>
          <c:invertIfNegative val="0"/>
          <c:cat>
            <c:strRef>
              <c:f>'Area VIIa nephrops o250kW'!$L$138:$N$138</c:f>
              <c:strCache>
                <c:ptCount val="3"/>
                <c:pt idx="0">
                  <c:v>Most
profitable
quartile</c:v>
                </c:pt>
                <c:pt idx="1">
                  <c:v>Middle
two quartiles</c:v>
                </c:pt>
                <c:pt idx="2">
                  <c:v>Least
profitable
quartile</c:v>
                </c:pt>
              </c:strCache>
            </c:strRef>
          </c:cat>
          <c:val>
            <c:numRef>
              <c:f>'Area VIIa nephrops o250kW'!$L$140:$N$140</c:f>
              <c:numCache>
                <c:formatCode>#,##0</c:formatCode>
                <c:ptCount val="3"/>
                <c:pt idx="0">
                  <c:v>446.44421875</c:v>
                </c:pt>
                <c:pt idx="1">
                  <c:v>345.08064166666702</c:v>
                </c:pt>
                <c:pt idx="2">
                  <c:v>258.66743750000001</c:v>
                </c:pt>
              </c:numCache>
            </c:numRef>
          </c:val>
          <c:extLst>
            <c:ext xmlns:c16="http://schemas.microsoft.com/office/drawing/2014/chart" uri="{C3380CC4-5D6E-409C-BE32-E72D297353CC}">
              <c16:uniqueId val="{00000001-3E60-4DB8-9579-3DAB8B904B75}"/>
            </c:ext>
          </c:extLst>
        </c:ser>
        <c:ser>
          <c:idx val="2"/>
          <c:order val="2"/>
          <c:tx>
            <c:strRef>
              <c:f>'Area VIIa nephrops o250kW'!$K$141</c:f>
              <c:strCache>
                <c:ptCount val="1"/>
                <c:pt idx="0">
                  <c:v>Operating profit</c:v>
                </c:pt>
              </c:strCache>
            </c:strRef>
          </c:tx>
          <c:spPr>
            <a:solidFill>
              <a:srgbClr val="51AA81"/>
            </a:solidFill>
          </c:spPr>
          <c:invertIfNegative val="0"/>
          <c:cat>
            <c:strRef>
              <c:f>'Area VIIa nephrops o250kW'!$L$138:$N$138</c:f>
              <c:strCache>
                <c:ptCount val="3"/>
                <c:pt idx="0">
                  <c:v>Most
profitable
quartile</c:v>
                </c:pt>
                <c:pt idx="1">
                  <c:v>Middle
two quartiles</c:v>
                </c:pt>
                <c:pt idx="2">
                  <c:v>Least
profitable
quartile</c:v>
                </c:pt>
              </c:strCache>
            </c:strRef>
          </c:cat>
          <c:val>
            <c:numRef>
              <c:f>'Area VIIa nephrops o250kW'!$L$141:$N$141</c:f>
              <c:numCache>
                <c:formatCode>#,##0</c:formatCode>
                <c:ptCount val="3"/>
                <c:pt idx="0">
                  <c:v>189.34971874999999</c:v>
                </c:pt>
                <c:pt idx="1">
                  <c:v>124.24351666666701</c:v>
                </c:pt>
                <c:pt idx="2">
                  <c:v>74.966374999999999</c:v>
                </c:pt>
              </c:numCache>
            </c:numRef>
          </c:val>
          <c:extLst>
            <c:ext xmlns:c16="http://schemas.microsoft.com/office/drawing/2014/chart" uri="{C3380CC4-5D6E-409C-BE32-E72D297353CC}">
              <c16:uniqueId val="{00000002-3E60-4DB8-9579-3DAB8B904B75}"/>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'Area VIIa nephrops o250kW'!$K$142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'Pots and traps 10-12m'!$K$139</c:f>
              <c:strCache>
                <c:ptCount val="1"/>
                <c:pt idx="0">
                  <c:v>Total income</c:v>
                </c:pt>
              </c:strCache>
            </c:strRef>
          </c:tx>
          <c:spPr>
            <a:solidFill>
              <a:srgbClr val="087CBB"/>
            </a:solidFill>
            <a:ln>
              <a:solidFill>
                <a:schemeClr val="accent1"/>
              </a:solidFill>
            </a:ln>
          </c:spPr>
          <c:invertIfNegative val="0"/>
          <c:cat>
            <c:strRef>
              <c:f>'Pots and traps 10-12m'!$L$138:$N$138</c:f>
              <c:strCache>
                <c:ptCount val="3"/>
                <c:pt idx="0">
                  <c:v>Most
profitable
quartile</c:v>
                </c:pt>
                <c:pt idx="1">
                  <c:v>Middle
two quartiles</c:v>
                </c:pt>
                <c:pt idx="2">
                  <c:v>Least
profitable
quartile</c:v>
                </c:pt>
              </c:strCache>
            </c:strRef>
          </c:cat>
          <c:val>
            <c:numRef>
              <c:f>'Pots and traps 10-12m'!$L$139:$N$139</c:f>
              <c:numCache>
                <c:formatCode>#,##0</c:formatCode>
                <c:ptCount val="3"/>
                <c:pt idx="0">
                  <c:v>305.89131250000003</c:v>
                </c:pt>
                <c:pt idx="1">
                  <c:v>189.195034684066</c:v>
                </c:pt>
                <c:pt idx="2">
                  <c:v>87.817687500000005</c:v>
                </c:pt>
              </c:numCache>
            </c:numRef>
          </c:val>
          <c:extLst>
            <c:ext xmlns:c16="http://schemas.microsoft.com/office/drawing/2014/chart" uri="{C3380CC4-5D6E-409C-BE32-E72D297353CC}">
              <c16:uniqueId val="{00000000-19FC-49B1-A87F-8BB30F5397D4}"/>
            </c:ext>
          </c:extLst>
        </c:ser>
        <c:ser>
          <c:idx val="1"/>
          <c:order val="1"/>
          <c:tx>
            <c:strRef>
              <c:f>'Pots and traps 10-12m'!$K$140</c:f>
              <c:strCache>
                <c:ptCount val="1"/>
                <c:pt idx="0">
                  <c:v>Operating costs</c:v>
                </c:pt>
              </c:strCache>
            </c:strRef>
          </c:tx>
          <c:spPr>
            <a:solidFill>
              <a:srgbClr val="E87308"/>
            </a:solidFill>
          </c:spPr>
          <c:invertIfNegative val="0"/>
          <c:cat>
            <c:strRef>
              <c:f>'Pots and traps 10-12m'!$L$138:$N$138</c:f>
              <c:strCache>
                <c:ptCount val="3"/>
                <c:pt idx="0">
                  <c:v>Most
profitable
quartile</c:v>
                </c:pt>
                <c:pt idx="1">
                  <c:v>Middle
two quartiles</c:v>
                </c:pt>
                <c:pt idx="2">
                  <c:v>Least
profitable
quartile</c:v>
                </c:pt>
              </c:strCache>
            </c:strRef>
          </c:cat>
          <c:val>
            <c:numRef>
              <c:f>'Pots and traps 10-12m'!$L$140:$N$140</c:f>
              <c:numCache>
                <c:formatCode>#,##0</c:formatCode>
                <c:ptCount val="3"/>
                <c:pt idx="0">
                  <c:v>188.32165624999999</c:v>
                </c:pt>
                <c:pt idx="1">
                  <c:v>123.629939217033</c:v>
                </c:pt>
                <c:pt idx="2">
                  <c:v>64.606363281249997</c:v>
                </c:pt>
              </c:numCache>
            </c:numRef>
          </c:val>
          <c:extLst>
            <c:ext xmlns:c16="http://schemas.microsoft.com/office/drawing/2014/chart" uri="{C3380CC4-5D6E-409C-BE32-E72D297353CC}">
              <c16:uniqueId val="{00000001-19FC-49B1-A87F-8BB30F5397D4}"/>
            </c:ext>
          </c:extLst>
        </c:ser>
        <c:ser>
          <c:idx val="2"/>
          <c:order val="2"/>
          <c:tx>
            <c:strRef>
              <c:f>'Pots and traps 10-12m'!$K$141</c:f>
              <c:strCache>
                <c:ptCount val="1"/>
                <c:pt idx="0">
                  <c:v>Operating profit</c:v>
                </c:pt>
              </c:strCache>
            </c:strRef>
          </c:tx>
          <c:spPr>
            <a:solidFill>
              <a:srgbClr val="51AA81"/>
            </a:solidFill>
          </c:spPr>
          <c:invertIfNegative val="0"/>
          <c:cat>
            <c:strRef>
              <c:f>'Pots and traps 10-12m'!$L$138:$N$138</c:f>
              <c:strCache>
                <c:ptCount val="3"/>
                <c:pt idx="0">
                  <c:v>Most
profitable
quartile</c:v>
                </c:pt>
                <c:pt idx="1">
                  <c:v>Middle
two quartiles</c:v>
                </c:pt>
                <c:pt idx="2">
                  <c:v>Least
profitable
quartile</c:v>
                </c:pt>
              </c:strCache>
            </c:strRef>
          </c:cat>
          <c:val>
            <c:numRef>
              <c:f>'Pots and traps 10-12m'!$L$141:$N$141</c:f>
              <c:numCache>
                <c:formatCode>#,##0</c:formatCode>
                <c:ptCount val="3"/>
                <c:pt idx="0">
                  <c:v>117.56965624999999</c:v>
                </c:pt>
                <c:pt idx="1">
                  <c:v>65.565095467033004</c:v>
                </c:pt>
                <c:pt idx="2">
                  <c:v>23.211324218750001</c:v>
                </c:pt>
              </c:numCache>
            </c:numRef>
          </c:val>
          <c:extLst>
            <c:ext xmlns:c16="http://schemas.microsoft.com/office/drawing/2014/chart" uri="{C3380CC4-5D6E-409C-BE32-E72D297353CC}">
              <c16:uniqueId val="{00000002-19FC-49B1-A87F-8BB30F5397D4}"/>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'Pots and traps 10-12m'!$K$142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12m'!$A$48</c:f>
          <c:strCache>
            <c:ptCount val="1"/>
            <c:pt idx="0">
              <c:v>Landings per kW day at sea (kg)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0122-4489-8997-9A41E7A14D4A}"/>
              </c:ext>
            </c:extLst>
          </c:dPt>
          <c:dPt>
            <c:idx val="10"/>
            <c:bubble3D val="0"/>
            <c:spPr>
              <a:ln w="57150">
                <a:solidFill>
                  <a:srgbClr val="2273B9"/>
                </a:solidFill>
                <a:prstDash val="sysDot"/>
              </a:ln>
            </c:spPr>
            <c:extLst>
              <c:ext xmlns:c16="http://schemas.microsoft.com/office/drawing/2014/chart" uri="{C3380CC4-5D6E-409C-BE32-E72D297353CC}">
                <c16:uniqueId val="{00000003-0122-4489-8997-9A41E7A14D4A}"/>
              </c:ext>
            </c:extLst>
          </c:dPt>
          <c:cat>
            <c:numRef>
              <c:f>'Pots and traps over 12m'!$D$2:$N$2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'Pots and traps over 12m'!$D$21:$N$21</c:f>
              <c:numCache>
                <c:formatCode>#,##0.00</c:formatCode>
                <c:ptCount val="11"/>
                <c:pt idx="0">
                  <c:v>4.8019862490213221</c:v>
                </c:pt>
                <c:pt idx="1">
                  <c:v>5.1660458075348066</c:v>
                </c:pt>
                <c:pt idx="2">
                  <c:v>5.430499599920056</c:v>
                </c:pt>
                <c:pt idx="3">
                  <c:v>5.6415424518585287</c:v>
                </c:pt>
                <c:pt idx="4">
                  <c:v>6.2666534463306274</c:v>
                </c:pt>
                <c:pt idx="5">
                  <c:v>5.9638409662085046</c:v>
                </c:pt>
                <c:pt idx="6">
                  <c:v>5.9470561964116566</c:v>
                </c:pt>
                <c:pt idx="7">
                  <c:v>5.7305747119514452</c:v>
                </c:pt>
                <c:pt idx="8">
                  <c:v>5.8102050272481041</c:v>
                </c:pt>
                <c:pt idx="9">
                  <c:v>5.0689963971070595</c:v>
                </c:pt>
                <c:pt idx="10">
                  <c:v>4.8496326001614873</c:v>
                </c:pt>
              </c:numCache>
            </c:numRef>
          </c:val>
          <c:smooth val="0"/>
          <c:extLst>
            <c:ext xmlns:c16="http://schemas.microsoft.com/office/drawing/2014/chart" uri="{C3380CC4-5D6E-409C-BE32-E72D297353CC}">
              <c16:uniqueId val="{00000004-0122-4489-8997-9A41E7A14D4A}"/>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12m'!$A$49</c:f>
          <c:strCache>
            <c:ptCount val="1"/>
            <c:pt idx="0">
              <c:v>Fishing income per kW day at sea (£)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E319-4171-BF09-8E529584110B}"/>
              </c:ext>
            </c:extLst>
          </c:dPt>
          <c:dPt>
            <c:idx val="10"/>
            <c:bubble3D val="0"/>
            <c:spPr>
              <a:ln w="57150">
                <a:solidFill>
                  <a:srgbClr val="648C2E"/>
                </a:solidFill>
                <a:prstDash val="sysDot"/>
              </a:ln>
            </c:spPr>
            <c:extLst>
              <c:ext xmlns:c16="http://schemas.microsoft.com/office/drawing/2014/chart" uri="{C3380CC4-5D6E-409C-BE32-E72D297353CC}">
                <c16:uniqueId val="{00000003-E319-4171-BF09-8E529584110B}"/>
              </c:ext>
            </c:extLst>
          </c:dPt>
          <c:cat>
            <c:numRef>
              <c:f>'Pots and traps over 12m'!$D$2:$N$2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'Pots and traps over 12m'!$D$22:$N$22</c:f>
              <c:numCache>
                <c:formatCode>#,##0.00</c:formatCode>
                <c:ptCount val="11"/>
                <c:pt idx="0">
                  <c:v>8.3291716770894606</c:v>
                </c:pt>
                <c:pt idx="1">
                  <c:v>8.9664312482405908</c:v>
                </c:pt>
                <c:pt idx="2">
                  <c:v>9.2558825022969007</c:v>
                </c:pt>
                <c:pt idx="3">
                  <c:v>10.2954570984688</c:v>
                </c:pt>
                <c:pt idx="4">
                  <c:v>11.145506199634299</c:v>
                </c:pt>
                <c:pt idx="5">
                  <c:v>10.4866760333376</c:v>
                </c:pt>
                <c:pt idx="6">
                  <c:v>10.965357143319901</c:v>
                </c:pt>
                <c:pt idx="7">
                  <c:v>11.850211511807901</c:v>
                </c:pt>
                <c:pt idx="8">
                  <c:v>13.4168973474086</c:v>
                </c:pt>
                <c:pt idx="9">
                  <c:v>12.4115305689142</c:v>
                </c:pt>
                <c:pt idx="10">
                  <c:v>9.210979095768133</c:v>
                </c:pt>
              </c:numCache>
            </c:numRef>
          </c:val>
          <c:smooth val="0"/>
          <c:extLst>
            <c:ext xmlns:c16="http://schemas.microsoft.com/office/drawing/2014/chart" uri="{C3380CC4-5D6E-409C-BE32-E72D297353CC}">
              <c16:uniqueId val="{00000004-E319-4171-BF09-8E529584110B}"/>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12m'!$B$62</c:f>
          <c:strCache>
            <c:ptCount val="1"/>
            <c:pt idx="0">
              <c:v>Total cost per kW day at sea (£)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D2B0-4EB4-A5D4-FD96770D6EF6}"/>
              </c:ext>
            </c:extLst>
          </c:dPt>
          <c:dPt>
            <c:idx val="10"/>
            <c:bubble3D val="0"/>
            <c:spPr>
              <a:ln w="57150">
                <a:solidFill>
                  <a:srgbClr val="087CBB"/>
                </a:solidFill>
                <a:prstDash val="sysDot"/>
              </a:ln>
            </c:spPr>
            <c:extLst>
              <c:ext xmlns:c16="http://schemas.microsoft.com/office/drawing/2014/chart" uri="{C3380CC4-5D6E-409C-BE32-E72D297353CC}">
                <c16:uniqueId val="{00000003-D2B0-4EB4-A5D4-FD96770D6EF6}"/>
              </c:ext>
            </c:extLst>
          </c:dPt>
          <c:cat>
            <c:numRef>
              <c:f>'Pots and traps over 12m'!$D$2:$N$2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'Pots and traps over 12m'!$D$23:$N$23</c:f>
              <c:numCache>
                <c:formatCode>#,##0.00</c:formatCode>
                <c:ptCount val="11"/>
                <c:pt idx="0">
                  <c:v>7.3454214580688397</c:v>
                </c:pt>
                <c:pt idx="1">
                  <c:v>8.6633799050799905</c:v>
                </c:pt>
                <c:pt idx="2">
                  <c:v>8.5361758568180797</c:v>
                </c:pt>
                <c:pt idx="3">
                  <c:v>9.0545108979756801</c:v>
                </c:pt>
                <c:pt idx="4">
                  <c:v>9.3337009162575502</c:v>
                </c:pt>
                <c:pt idx="5">
                  <c:v>8.5954050747096193</c:v>
                </c:pt>
                <c:pt idx="6">
                  <c:v>8.6140351949426801</c:v>
                </c:pt>
                <c:pt idx="7">
                  <c:v>9.9325973234670695</c:v>
                </c:pt>
                <c:pt idx="8">
                  <c:v>10.698367230869099</c:v>
                </c:pt>
                <c:pt idx="9">
                  <c:v>9.8617295096734701</c:v>
                </c:pt>
                <c:pt idx="10">
                  <c:v>7.848462685943022</c:v>
                </c:pt>
              </c:numCache>
            </c:numRef>
          </c:val>
          <c:smooth val="0"/>
          <c:extLst>
            <c:ext xmlns:c16="http://schemas.microsoft.com/office/drawing/2014/chart" uri="{C3380CC4-5D6E-409C-BE32-E72D297353CC}">
              <c16:uniqueId val="{00000004-D2B0-4EB4-A5D4-FD96770D6EF6}"/>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12m'!$K$48</c:f>
          <c:strCache>
            <c:ptCount val="1"/>
            <c:pt idx="0">
              <c:v>Operating profit per kW day at sea (£)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887A-420A-AEBA-675508B0520B}"/>
              </c:ext>
            </c:extLst>
          </c:dPt>
          <c:dPt>
            <c:idx val="10"/>
            <c:bubble3D val="0"/>
            <c:spPr>
              <a:ln w="57150">
                <a:solidFill>
                  <a:schemeClr val="accent3"/>
                </a:solidFill>
                <a:prstDash val="sysDot"/>
              </a:ln>
            </c:spPr>
            <c:extLst>
              <c:ext xmlns:c16="http://schemas.microsoft.com/office/drawing/2014/chart" uri="{C3380CC4-5D6E-409C-BE32-E72D297353CC}">
                <c16:uniqueId val="{00000003-887A-420A-AEBA-675508B0520B}"/>
              </c:ext>
            </c:extLst>
          </c:dPt>
          <c:cat>
            <c:numRef>
              <c:f>'Pots and traps over 12m'!$D$2:$N$2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'Pots and traps over 12m'!$D$24:$N$24</c:f>
              <c:numCache>
                <c:formatCode>#,##0.00</c:formatCode>
                <c:ptCount val="11"/>
                <c:pt idx="0">
                  <c:v>1.0477722676110801</c:v>
                </c:pt>
                <c:pt idx="1">
                  <c:v>0.82950549301515397</c:v>
                </c:pt>
                <c:pt idx="2">
                  <c:v>2.02921008365609</c:v>
                </c:pt>
                <c:pt idx="3">
                  <c:v>1.87436148091748</c:v>
                </c:pt>
                <c:pt idx="4">
                  <c:v>2.3784150096171901</c:v>
                </c:pt>
                <c:pt idx="5">
                  <c:v>2.4502432364907101</c:v>
                </c:pt>
                <c:pt idx="6">
                  <c:v>2.5879220928992002</c:v>
                </c:pt>
                <c:pt idx="7">
                  <c:v>3.4756809808000901</c:v>
                </c:pt>
                <c:pt idx="8">
                  <c:v>3.1187833064375199</c:v>
                </c:pt>
                <c:pt idx="9">
                  <c:v>2.9400981794736798</c:v>
                </c:pt>
                <c:pt idx="10">
                  <c:v>1.8632105092900673</c:v>
                </c:pt>
              </c:numCache>
            </c:numRef>
          </c:val>
          <c:smooth val="0"/>
          <c:extLst>
            <c:ext xmlns:c16="http://schemas.microsoft.com/office/drawing/2014/chart" uri="{C3380CC4-5D6E-409C-BE32-E72D297353CC}">
              <c16:uniqueId val="{00000004-887A-420A-AEBA-675508B0520B}"/>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12m'!$A$50</c:f>
          <c:strCache>
            <c:ptCount val="1"/>
            <c:pt idx="0">
              <c:v>Average price per tonne landed (£)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766B-4EC8-B8D2-1F8200FC3040}"/>
              </c:ext>
            </c:extLst>
          </c:dPt>
          <c:dPt>
            <c:idx val="10"/>
            <c:bubble3D val="0"/>
            <c:spPr>
              <a:ln w="57150">
                <a:solidFill>
                  <a:schemeClr val="accent4"/>
                </a:solidFill>
                <a:prstDash val="sysDot"/>
              </a:ln>
            </c:spPr>
            <c:extLst>
              <c:ext xmlns:c16="http://schemas.microsoft.com/office/drawing/2014/chart" uri="{C3380CC4-5D6E-409C-BE32-E72D297353CC}">
                <c16:uniqueId val="{00000003-766B-4EC8-B8D2-1F8200FC3040}"/>
              </c:ext>
            </c:extLst>
          </c:dPt>
          <c:cat>
            <c:numRef>
              <c:f>'Pots and traps over 12m'!$D$2:$M$2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'Pots and traps over 12m'!$D$20:$N$20</c:f>
              <c:numCache>
                <c:formatCode>#,##0</c:formatCode>
                <c:ptCount val="11"/>
                <c:pt idx="0">
                  <c:v>1735</c:v>
                </c:pt>
                <c:pt idx="1">
                  <c:v>1736</c:v>
                </c:pt>
                <c:pt idx="2">
                  <c:v>1704</c:v>
                </c:pt>
                <c:pt idx="3">
                  <c:v>1825</c:v>
                </c:pt>
                <c:pt idx="4">
                  <c:v>1779</c:v>
                </c:pt>
                <c:pt idx="5">
                  <c:v>1758</c:v>
                </c:pt>
                <c:pt idx="6">
                  <c:v>1844</c:v>
                </c:pt>
                <c:pt idx="7">
                  <c:v>2068</c:v>
                </c:pt>
                <c:pt idx="8">
                  <c:v>2309</c:v>
                </c:pt>
                <c:pt idx="9">
                  <c:v>2449</c:v>
                </c:pt>
                <c:pt idx="10">
                  <c:v>1899</c:v>
                </c:pt>
              </c:numCache>
            </c:numRef>
          </c:val>
          <c:smooth val="0"/>
          <c:extLst>
            <c:ext xmlns:c16="http://schemas.microsoft.com/office/drawing/2014/chart" uri="{C3380CC4-5D6E-409C-BE32-E72D297353CC}">
              <c16:uniqueId val="{00000004-766B-4EC8-B8D2-1F8200FC3040}"/>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12m'!$K$62</c:f>
          <c:strCache>
            <c:ptCount val="1"/>
            <c:pt idx="0">
              <c:v>Average annual operating profit per vessel (£'000)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990A-4A79-B94A-E6BF21013B70}"/>
              </c:ext>
            </c:extLst>
          </c:dPt>
          <c:dPt>
            <c:idx val="10"/>
            <c:bubble3D val="0"/>
            <c:spPr>
              <a:ln w="57150">
                <a:solidFill>
                  <a:schemeClr val="accent5"/>
                </a:solidFill>
                <a:prstDash val="sysDot"/>
              </a:ln>
            </c:spPr>
            <c:extLst>
              <c:ext xmlns:c16="http://schemas.microsoft.com/office/drawing/2014/chart" uri="{C3380CC4-5D6E-409C-BE32-E72D297353CC}">
                <c16:uniqueId val="{00000003-990A-4A79-B94A-E6BF21013B70}"/>
              </c:ext>
            </c:extLst>
          </c:dPt>
          <c:cat>
            <c:numRef>
              <c:f>'Pots and traps over 12m'!$D$2:$M$2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'Pots and traps over 12m'!$D$37:$N$37</c:f>
              <c:numCache>
                <c:formatCode>#,##0.0</c:formatCode>
                <c:ptCount val="11"/>
                <c:pt idx="0">
                  <c:v>47.7</c:v>
                </c:pt>
                <c:pt idx="1">
                  <c:v>35.4</c:v>
                </c:pt>
                <c:pt idx="2">
                  <c:v>82.6</c:v>
                </c:pt>
                <c:pt idx="3">
                  <c:v>74.900000000000006</c:v>
                </c:pt>
                <c:pt idx="4">
                  <c:v>98.4</c:v>
                </c:pt>
                <c:pt idx="5">
                  <c:v>100</c:v>
                </c:pt>
                <c:pt idx="6">
                  <c:v>117</c:v>
                </c:pt>
                <c:pt idx="7">
                  <c:v>163.4</c:v>
                </c:pt>
                <c:pt idx="8">
                  <c:v>143.9</c:v>
                </c:pt>
                <c:pt idx="9">
                  <c:v>136.6</c:v>
                </c:pt>
                <c:pt idx="10">
                  <c:v>82.3</c:v>
                </c:pt>
              </c:numCache>
            </c:numRef>
          </c:val>
          <c:smooth val="0"/>
          <c:extLst>
            <c:ext xmlns:c16="http://schemas.microsoft.com/office/drawing/2014/chart" uri="{C3380CC4-5D6E-409C-BE32-E72D297353CC}">
              <c16:uniqueId val="{00000004-990A-4A79-B94A-E6BF21013B70}"/>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over 12m'!$A$76</c:f>
          <c:strCache>
            <c:ptCount val="1"/>
            <c:pt idx="0">
              <c:v>Top 5 landed species by volume in 2019
Pots and traps over 12m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9238-4EB7-9115-10ACF9FF15FD}"/>
              </c:ext>
            </c:extLst>
          </c:dPt>
          <c:dPt>
            <c:idx val="1"/>
            <c:bubble3D val="0"/>
            <c:spPr>
              <a:solidFill>
                <a:srgbClr val="E87308"/>
              </a:solidFill>
              <a:ln>
                <a:solidFill>
                  <a:srgbClr val="FFFFFF"/>
                </a:solidFill>
              </a:ln>
            </c:spPr>
            <c:extLst>
              <c:ext xmlns:c16="http://schemas.microsoft.com/office/drawing/2014/chart" uri="{C3380CC4-5D6E-409C-BE32-E72D297353CC}">
                <c16:uniqueId val="{00000003-9238-4EB7-9115-10ACF9FF15FD}"/>
              </c:ext>
            </c:extLst>
          </c:dPt>
          <c:dPt>
            <c:idx val="2"/>
            <c:bubble3D val="0"/>
            <c:spPr>
              <a:solidFill>
                <a:srgbClr val="648C2E"/>
              </a:solidFill>
              <a:ln>
                <a:solidFill>
                  <a:srgbClr val="FFFFFF"/>
                </a:solidFill>
              </a:ln>
            </c:spPr>
            <c:extLst>
              <c:ext xmlns:c16="http://schemas.microsoft.com/office/drawing/2014/chart" uri="{C3380CC4-5D6E-409C-BE32-E72D297353CC}">
                <c16:uniqueId val="{00000005-9238-4EB7-9115-10ACF9FF15FD}"/>
              </c:ext>
            </c:extLst>
          </c:dPt>
          <c:dPt>
            <c:idx val="3"/>
            <c:bubble3D val="0"/>
            <c:spPr>
              <a:solidFill>
                <a:srgbClr val="C1D119"/>
              </a:solidFill>
              <a:ln>
                <a:solidFill>
                  <a:srgbClr val="FFFFFF"/>
                </a:solidFill>
              </a:ln>
            </c:spPr>
            <c:extLst>
              <c:ext xmlns:c16="http://schemas.microsoft.com/office/drawing/2014/chart" uri="{C3380CC4-5D6E-409C-BE32-E72D297353CC}">
                <c16:uniqueId val="{00000007-9238-4EB7-9115-10ACF9FF15FD}"/>
              </c:ext>
            </c:extLst>
          </c:dPt>
          <c:dPt>
            <c:idx val="4"/>
            <c:bubble3D val="0"/>
            <c:spPr>
              <a:solidFill>
                <a:srgbClr val="E84A38"/>
              </a:solidFill>
              <a:ln>
                <a:solidFill>
                  <a:srgbClr val="FFFFFF"/>
                </a:solidFill>
              </a:ln>
            </c:spPr>
            <c:extLst>
              <c:ext xmlns:c16="http://schemas.microsoft.com/office/drawing/2014/chart" uri="{C3380CC4-5D6E-409C-BE32-E72D297353CC}">
                <c16:uniqueId val="{00000009-9238-4EB7-9115-10ACF9FF15FD}"/>
              </c:ext>
            </c:extLst>
          </c:dPt>
          <c:dPt>
            <c:idx val="5"/>
            <c:bubble3D val="0"/>
            <c:spPr>
              <a:solidFill>
                <a:srgbClr val="55585A"/>
              </a:solidFill>
              <a:ln>
                <a:solidFill>
                  <a:srgbClr val="FFFFFF"/>
                </a:solidFill>
              </a:ln>
            </c:spPr>
            <c:extLst>
              <c:ext xmlns:c16="http://schemas.microsoft.com/office/drawing/2014/chart" uri="{C3380CC4-5D6E-409C-BE32-E72D297353CC}">
                <c16:uniqueId val="{0000000B-9238-4EB7-9115-10ACF9FF15FD}"/>
              </c:ext>
            </c:extLst>
          </c:dPt>
          <c:cat>
            <c:strRef>
              <c:f>'Pots and traps over 12m'!$B$77:$B$82</c:f>
              <c:strCache>
                <c:ptCount val="6"/>
                <c:pt idx="0">
                  <c:v>Brown Crab - 67.1%</c:v>
                </c:pt>
                <c:pt idx="1">
                  <c:v>Whelks - 30.3%</c:v>
                </c:pt>
                <c:pt idx="2">
                  <c:v>Lobsters - 1.7%</c:v>
                </c:pt>
                <c:pt idx="3">
                  <c:v>Nephrops - 0.3%</c:v>
                </c:pt>
                <c:pt idx="4">
                  <c:v>Scallops - 0.2%</c:v>
                </c:pt>
                <c:pt idx="5">
                  <c:v>Others - 0.3%</c:v>
                </c:pt>
              </c:strCache>
            </c:strRef>
          </c:cat>
          <c:val>
            <c:numRef>
              <c:f>'Pots and traps over 12m'!$C$77:$C$82</c:f>
              <c:numCache>
                <c:formatCode>0.0%</c:formatCode>
                <c:ptCount val="6"/>
                <c:pt idx="0">
                  <c:v>0.67070534038128771</c:v>
                </c:pt>
                <c:pt idx="1">
                  <c:v>0.30319371291511577</c:v>
                </c:pt>
                <c:pt idx="2">
                  <c:v>1.7475771669655967E-2</c:v>
                </c:pt>
                <c:pt idx="3">
                  <c:v>3.1142285144603902E-3</c:v>
                </c:pt>
                <c:pt idx="4">
                  <c:v>2.3902983045302299E-3</c:v>
                </c:pt>
                <c:pt idx="5">
                  <c:v>3.1206482149499504E-3</c:v>
                </c:pt>
              </c:numCache>
            </c:numRef>
          </c:val>
          <c:extLst>
            <c:ext xmlns:c16="http://schemas.microsoft.com/office/drawing/2014/chart" uri="{C3380CC4-5D6E-409C-BE32-E72D297353CC}">
              <c16:uniqueId val="{0000000C-9238-4EB7-9115-10ACF9FF15FD}"/>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over 12m'!$F$76</c:f>
          <c:strCache>
            <c:ptCount val="1"/>
            <c:pt idx="0">
              <c:v>Top 5 landed species by value in 2019
Pots and traps over 12m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62E6-45D1-9127-219A56A2F772}"/>
              </c:ext>
            </c:extLst>
          </c:dPt>
          <c:dPt>
            <c:idx val="1"/>
            <c:bubble3D val="0"/>
            <c:spPr>
              <a:solidFill>
                <a:srgbClr val="E87308"/>
              </a:solidFill>
              <a:ln>
                <a:solidFill>
                  <a:srgbClr val="FFFFFF"/>
                </a:solidFill>
              </a:ln>
            </c:spPr>
            <c:extLst>
              <c:ext xmlns:c16="http://schemas.microsoft.com/office/drawing/2014/chart" uri="{C3380CC4-5D6E-409C-BE32-E72D297353CC}">
                <c16:uniqueId val="{00000003-62E6-45D1-9127-219A56A2F772}"/>
              </c:ext>
            </c:extLst>
          </c:dPt>
          <c:dPt>
            <c:idx val="2"/>
            <c:bubble3D val="0"/>
            <c:spPr>
              <a:solidFill>
                <a:srgbClr val="648C2E"/>
              </a:solidFill>
              <a:ln>
                <a:solidFill>
                  <a:srgbClr val="FFFFFF"/>
                </a:solidFill>
              </a:ln>
            </c:spPr>
            <c:extLst>
              <c:ext xmlns:c16="http://schemas.microsoft.com/office/drawing/2014/chart" uri="{C3380CC4-5D6E-409C-BE32-E72D297353CC}">
                <c16:uniqueId val="{00000005-62E6-45D1-9127-219A56A2F772}"/>
              </c:ext>
            </c:extLst>
          </c:dPt>
          <c:dPt>
            <c:idx val="3"/>
            <c:bubble3D val="0"/>
            <c:spPr>
              <a:solidFill>
                <a:srgbClr val="C1D119"/>
              </a:solidFill>
              <a:ln>
                <a:solidFill>
                  <a:srgbClr val="FFFFFF"/>
                </a:solidFill>
              </a:ln>
            </c:spPr>
            <c:extLst>
              <c:ext xmlns:c16="http://schemas.microsoft.com/office/drawing/2014/chart" uri="{C3380CC4-5D6E-409C-BE32-E72D297353CC}">
                <c16:uniqueId val="{00000007-62E6-45D1-9127-219A56A2F772}"/>
              </c:ext>
            </c:extLst>
          </c:dPt>
          <c:dPt>
            <c:idx val="4"/>
            <c:bubble3D val="0"/>
            <c:spPr>
              <a:solidFill>
                <a:srgbClr val="E84A38"/>
              </a:solidFill>
              <a:ln>
                <a:solidFill>
                  <a:srgbClr val="FFFFFF"/>
                </a:solidFill>
              </a:ln>
            </c:spPr>
            <c:extLst>
              <c:ext xmlns:c16="http://schemas.microsoft.com/office/drawing/2014/chart" uri="{C3380CC4-5D6E-409C-BE32-E72D297353CC}">
                <c16:uniqueId val="{00000009-62E6-45D1-9127-219A56A2F772}"/>
              </c:ext>
            </c:extLst>
          </c:dPt>
          <c:dPt>
            <c:idx val="5"/>
            <c:bubble3D val="0"/>
            <c:spPr>
              <a:solidFill>
                <a:srgbClr val="55585A"/>
              </a:solidFill>
              <a:ln>
                <a:solidFill>
                  <a:srgbClr val="FFFFFF"/>
                </a:solidFill>
              </a:ln>
            </c:spPr>
            <c:extLst>
              <c:ext xmlns:c16="http://schemas.microsoft.com/office/drawing/2014/chart" uri="{C3380CC4-5D6E-409C-BE32-E72D297353CC}">
                <c16:uniqueId val="{0000000B-62E6-45D1-9127-219A56A2F772}"/>
              </c:ext>
            </c:extLst>
          </c:dPt>
          <c:cat>
            <c:strRef>
              <c:f>'Pots and traps over 12m'!$G$77:$G$82</c:f>
              <c:strCache>
                <c:ptCount val="6"/>
                <c:pt idx="0">
                  <c:v>Brown Crab - 70.2%</c:v>
                </c:pt>
                <c:pt idx="1">
                  <c:v>Whelks - 17.0%</c:v>
                </c:pt>
                <c:pt idx="2">
                  <c:v>Lobsters - 11.3%</c:v>
                </c:pt>
                <c:pt idx="3">
                  <c:v>Nephrops - 1.0%</c:v>
                </c:pt>
                <c:pt idx="4">
                  <c:v>Scallops - 0.2%</c:v>
                </c:pt>
                <c:pt idx="5">
                  <c:v>Others - 0.2%</c:v>
                </c:pt>
              </c:strCache>
            </c:strRef>
          </c:cat>
          <c:val>
            <c:numRef>
              <c:f>'Pots and traps over 12m'!$H$77:$H$82</c:f>
              <c:numCache>
                <c:formatCode>0.0%</c:formatCode>
                <c:ptCount val="6"/>
                <c:pt idx="0">
                  <c:v>0.70208163746478691</c:v>
                </c:pt>
                <c:pt idx="1">
                  <c:v>0.17039484892063178</c:v>
                </c:pt>
                <c:pt idx="2">
                  <c:v>0.11311031590642198</c:v>
                </c:pt>
                <c:pt idx="3">
                  <c:v>1.0097763578637986E-2</c:v>
                </c:pt>
                <c:pt idx="4">
                  <c:v>2.3171124927982068E-3</c:v>
                </c:pt>
                <c:pt idx="5">
                  <c:v>1.9983216367231993E-3</c:v>
                </c:pt>
              </c:numCache>
            </c:numRef>
          </c:val>
          <c:extLst>
            <c:ext xmlns:c16="http://schemas.microsoft.com/office/drawing/2014/chart" uri="{C3380CC4-5D6E-409C-BE32-E72D297353CC}">
              <c16:uniqueId val="{0000000C-62E6-45D1-9127-219A56A2F77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over 12m'!$K$77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'Pots and traps over 12m'!$C$92</c:f>
              <c:strCache>
                <c:ptCount val="1"/>
                <c:pt idx="0">
                  <c:v>Brown Crab</c:v>
                </c:pt>
              </c:strCache>
            </c:strRef>
          </c:tx>
          <c:spPr>
            <a:solidFill>
              <a:srgbClr val="2273B9"/>
            </a:solidFill>
            <a:ln>
              <a:solidFill>
                <a:srgbClr val="FFFFFF"/>
              </a:solidFill>
            </a:ln>
          </c:spPr>
          <c:invertIfNegative val="0"/>
          <c:cat>
            <c:numRef>
              <c:f>'Pots and traps over 12m'!$D$91:$M$91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'Pots and traps over 12m'!$D$92:$M$92</c:f>
              <c:numCache>
                <c:formatCode>0%</c:formatCode>
                <c:ptCount val="10"/>
                <c:pt idx="0">
                  <c:v>0.69389931538033955</c:v>
                </c:pt>
                <c:pt idx="1">
                  <c:v>0.67663793251118509</c:v>
                </c:pt>
                <c:pt idx="2">
                  <c:v>0.67977824862740532</c:v>
                </c:pt>
                <c:pt idx="3">
                  <c:v>0.69243140028507311</c:v>
                </c:pt>
                <c:pt idx="4">
                  <c:v>0.65413165043225752</c:v>
                </c:pt>
                <c:pt idx="5">
                  <c:v>0.66033505100882339</c:v>
                </c:pt>
                <c:pt idx="6">
                  <c:v>0.66462118650004021</c:v>
                </c:pt>
                <c:pt idx="7">
                  <c:v>0.73255654206887422</c:v>
                </c:pt>
                <c:pt idx="8">
                  <c:v>0.70208163746478691</c:v>
                </c:pt>
                <c:pt idx="9">
                  <c:v>0.59255327993317286</c:v>
                </c:pt>
              </c:numCache>
            </c:numRef>
          </c:val>
          <c:extLst>
            <c:ext xmlns:c16="http://schemas.microsoft.com/office/drawing/2014/chart" uri="{C3380CC4-5D6E-409C-BE32-E72D297353CC}">
              <c16:uniqueId val="{00000000-E11C-44FA-87FF-75A8FA862F83}"/>
            </c:ext>
          </c:extLst>
        </c:ser>
        <c:ser>
          <c:idx val="1"/>
          <c:order val="1"/>
          <c:tx>
            <c:strRef>
              <c:f>'Pots and traps over 12m'!$C$93</c:f>
              <c:strCache>
                <c:ptCount val="1"/>
                <c:pt idx="0">
                  <c:v>Whelks</c:v>
                </c:pt>
              </c:strCache>
            </c:strRef>
          </c:tx>
          <c:spPr>
            <a:solidFill>
              <a:srgbClr val="E87308"/>
            </a:solidFill>
            <a:ln>
              <a:solidFill>
                <a:srgbClr val="FFFFFF"/>
              </a:solidFill>
            </a:ln>
          </c:spPr>
          <c:invertIfNegative val="0"/>
          <c:cat>
            <c:numRef>
              <c:f>'Pots and traps over 12m'!$D$91:$M$91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'Pots and traps over 12m'!$D$93:$M$93</c:f>
              <c:numCache>
                <c:formatCode>0%</c:formatCode>
                <c:ptCount val="10"/>
                <c:pt idx="0">
                  <c:v>9.206284917817309E-2</c:v>
                </c:pt>
                <c:pt idx="1">
                  <c:v>0.10756021405013758</c:v>
                </c:pt>
                <c:pt idx="2">
                  <c:v>0.1061580473915284</c:v>
                </c:pt>
                <c:pt idx="3">
                  <c:v>0.12423942581482358</c:v>
                </c:pt>
                <c:pt idx="4">
                  <c:v>0.14778877413796834</c:v>
                </c:pt>
                <c:pt idx="5">
                  <c:v>0.15345906873446735</c:v>
                </c:pt>
                <c:pt idx="6">
                  <c:v>0.15995747732680929</c:v>
                </c:pt>
                <c:pt idx="7">
                  <c:v>0.14696891698413386</c:v>
                </c:pt>
                <c:pt idx="8">
                  <c:v>0.17039484892063178</c:v>
                </c:pt>
                <c:pt idx="9">
                  <c:v>0.23377443078982849</c:v>
                </c:pt>
              </c:numCache>
            </c:numRef>
          </c:val>
          <c:extLst>
            <c:ext xmlns:c16="http://schemas.microsoft.com/office/drawing/2014/chart" uri="{C3380CC4-5D6E-409C-BE32-E72D297353CC}">
              <c16:uniqueId val="{00000001-E11C-44FA-87FF-75A8FA862F83}"/>
            </c:ext>
          </c:extLst>
        </c:ser>
        <c:ser>
          <c:idx val="2"/>
          <c:order val="2"/>
          <c:tx>
            <c:strRef>
              <c:f>'Pots and traps over 12m'!$C$94</c:f>
              <c:strCache>
                <c:ptCount val="1"/>
                <c:pt idx="0">
                  <c:v>Lobsters</c:v>
                </c:pt>
              </c:strCache>
            </c:strRef>
          </c:tx>
          <c:spPr>
            <a:solidFill>
              <a:srgbClr val="648C2E"/>
            </a:solidFill>
            <a:ln>
              <a:solidFill>
                <a:srgbClr val="FFFFFF"/>
              </a:solidFill>
            </a:ln>
          </c:spPr>
          <c:invertIfNegative val="0"/>
          <c:cat>
            <c:numRef>
              <c:f>'Pots and traps over 12m'!$D$91:$M$91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'Pots and traps over 12m'!$D$94:$M$94</c:f>
              <c:numCache>
                <c:formatCode>0%</c:formatCode>
                <c:ptCount val="10"/>
                <c:pt idx="0">
                  <c:v>0.16901640142326829</c:v>
                </c:pt>
                <c:pt idx="1">
                  <c:v>0.16332224281775581</c:v>
                </c:pt>
                <c:pt idx="2">
                  <c:v>0.15729277865887065</c:v>
                </c:pt>
                <c:pt idx="3">
                  <c:v>0.15077805982380796</c:v>
                </c:pt>
                <c:pt idx="4">
                  <c:v>0.16861370937041739</c:v>
                </c:pt>
                <c:pt idx="5">
                  <c:v>0.16053082627641174</c:v>
                </c:pt>
                <c:pt idx="6">
                  <c:v>0.15247632974456912</c:v>
                </c:pt>
                <c:pt idx="7">
                  <c:v>0.10586523923883197</c:v>
                </c:pt>
                <c:pt idx="8">
                  <c:v>0.11311031590642198</c:v>
                </c:pt>
                <c:pt idx="9">
                  <c:v>0.14893329674816394</c:v>
                </c:pt>
              </c:numCache>
            </c:numRef>
          </c:val>
          <c:extLst>
            <c:ext xmlns:c16="http://schemas.microsoft.com/office/drawing/2014/chart" uri="{C3380CC4-5D6E-409C-BE32-E72D297353CC}">
              <c16:uniqueId val="{00000002-E11C-44FA-87FF-75A8FA862F83}"/>
            </c:ext>
          </c:extLst>
        </c:ser>
        <c:ser>
          <c:idx val="3"/>
          <c:order val="3"/>
          <c:tx>
            <c:strRef>
              <c:f>'Pots and traps over 12m'!$C$95</c:f>
              <c:strCache>
                <c:ptCount val="1"/>
                <c:pt idx="0">
                  <c:v>Nephrops</c:v>
                </c:pt>
              </c:strCache>
            </c:strRef>
          </c:tx>
          <c:spPr>
            <a:solidFill>
              <a:srgbClr val="C1D119"/>
            </a:solidFill>
            <a:ln>
              <a:solidFill>
                <a:srgbClr val="FFFFFF"/>
              </a:solidFill>
            </a:ln>
          </c:spPr>
          <c:invertIfNegative val="0"/>
          <c:cat>
            <c:numRef>
              <c:f>'Pots and traps over 12m'!$D$91:$M$91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'Pots and traps over 12m'!$D$95:$M$95</c:f>
              <c:numCache>
                <c:formatCode>0%</c:formatCode>
                <c:ptCount val="10"/>
                <c:pt idx="0">
                  <c:v>2.8568101639902907E-2</c:v>
                </c:pt>
                <c:pt idx="1">
                  <c:v>3.699152784599799E-2</c:v>
                </c:pt>
                <c:pt idx="2">
                  <c:v>4.2932208388097436E-2</c:v>
                </c:pt>
                <c:pt idx="3">
                  <c:v>2.5251044650217627E-2</c:v>
                </c:pt>
                <c:pt idx="4">
                  <c:v>2.0866568835280486E-2</c:v>
                </c:pt>
                <c:pt idx="5">
                  <c:v>1.950985059495219E-2</c:v>
                </c:pt>
                <c:pt idx="6">
                  <c:v>1.4756666921675637E-2</c:v>
                </c:pt>
                <c:pt idx="7">
                  <c:v>8.8699309508836963E-3</c:v>
                </c:pt>
                <c:pt idx="8">
                  <c:v>1.0097763578637986E-2</c:v>
                </c:pt>
                <c:pt idx="9">
                  <c:v>1.6732502012605111E-2</c:v>
                </c:pt>
              </c:numCache>
            </c:numRef>
          </c:val>
          <c:extLst>
            <c:ext xmlns:c16="http://schemas.microsoft.com/office/drawing/2014/chart" uri="{C3380CC4-5D6E-409C-BE32-E72D297353CC}">
              <c16:uniqueId val="{00000003-E11C-44FA-87FF-75A8FA862F83}"/>
            </c:ext>
          </c:extLst>
        </c:ser>
        <c:ser>
          <c:idx val="4"/>
          <c:order val="4"/>
          <c:tx>
            <c:strRef>
              <c:f>'Pots and traps over 12m'!$C$96</c:f>
              <c:strCache>
                <c:ptCount val="1"/>
                <c:pt idx="0">
                  <c:v>Scallops</c:v>
                </c:pt>
              </c:strCache>
            </c:strRef>
          </c:tx>
          <c:spPr>
            <a:solidFill>
              <a:srgbClr val="E84A38"/>
            </a:solidFill>
            <a:ln>
              <a:solidFill>
                <a:srgbClr val="FFFFFF"/>
              </a:solidFill>
            </a:ln>
          </c:spPr>
          <c:invertIfNegative val="0"/>
          <c:cat>
            <c:numRef>
              <c:f>'Pots and traps over 12m'!$D$91:$M$91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'Pots and traps over 12m'!$D$96:$M$96</c:f>
              <c:numCache>
                <c:formatCode>0%</c:formatCode>
                <c:ptCount val="10"/>
                <c:pt idx="4">
                  <c:v>3.9537384111871026E-3</c:v>
                </c:pt>
                <c:pt idx="5">
                  <c:v>2.0776714371792703E-3</c:v>
                </c:pt>
                <c:pt idx="6">
                  <c:v>4.4757795379987645E-3</c:v>
                </c:pt>
                <c:pt idx="7">
                  <c:v>3.1649023692059859E-3</c:v>
                </c:pt>
                <c:pt idx="8">
                  <c:v>2.3171124927982068E-3</c:v>
                </c:pt>
              </c:numCache>
            </c:numRef>
          </c:val>
          <c:extLst>
            <c:ext xmlns:c16="http://schemas.microsoft.com/office/drawing/2014/chart" uri="{C3380CC4-5D6E-409C-BE32-E72D297353CC}">
              <c16:uniqueId val="{00000004-E11C-44FA-87FF-75A8FA862F83}"/>
            </c:ext>
          </c:extLst>
        </c:ser>
        <c:ser>
          <c:idx val="5"/>
          <c:order val="5"/>
          <c:tx>
            <c:strRef>
              <c:f>'Pots and traps over 12m'!$C$97</c:f>
              <c:strCache>
                <c:ptCount val="1"/>
                <c:pt idx="0">
                  <c:v>Brown Shrimps</c:v>
                </c:pt>
              </c:strCache>
            </c:strRef>
          </c:tx>
          <c:spPr>
            <a:solidFill>
              <a:srgbClr val="0F9AA9"/>
            </a:solidFill>
            <a:ln>
              <a:solidFill>
                <a:srgbClr val="FFFFFF"/>
              </a:solidFill>
            </a:ln>
          </c:spPr>
          <c:invertIfNegative val="0"/>
          <c:cat>
            <c:numRef>
              <c:f>'Pots and traps over 12m'!$D$91:$M$91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'Pots and traps over 12m'!$D$97:$M$97</c:f>
              <c:numCache>
                <c:formatCode>0%</c:formatCode>
                <c:ptCount val="10"/>
                <c:pt idx="9">
                  <c:v>3.9488904223756605E-3</c:v>
                </c:pt>
              </c:numCache>
            </c:numRef>
          </c:val>
          <c:extLst>
            <c:ext xmlns:c16="http://schemas.microsoft.com/office/drawing/2014/chart" uri="{C3380CC4-5D6E-409C-BE32-E72D297353CC}">
              <c16:uniqueId val="{00000005-E11C-44FA-87FF-75A8FA862F83}"/>
            </c:ext>
          </c:extLst>
        </c:ser>
        <c:ser>
          <c:idx val="6"/>
          <c:order val="6"/>
          <c:tx>
            <c:strRef>
              <c:f>'Pots and traps over 12m'!$C$98</c:f>
              <c:strCache>
                <c:ptCount val="1"/>
                <c:pt idx="0">
                  <c:v>Velvet Crab</c:v>
                </c:pt>
              </c:strCache>
            </c:strRef>
          </c:tx>
          <c:spPr>
            <a:solidFill>
              <a:srgbClr val="FED825"/>
            </a:solidFill>
            <a:ln>
              <a:solidFill>
                <a:srgbClr val="FFFFFF"/>
              </a:solidFill>
            </a:ln>
          </c:spPr>
          <c:invertIfNegative val="0"/>
          <c:cat>
            <c:numRef>
              <c:f>'Pots and traps over 12m'!$D$91:$M$91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'Pots and traps over 12m'!$D$98:$M$98</c:f>
              <c:numCache>
                <c:formatCode>0%</c:formatCode>
                <c:ptCount val="10"/>
                <c:pt idx="0">
                  <c:v>5.4373813876586507E-3</c:v>
                </c:pt>
                <c:pt idx="1">
                  <c:v>3.7513630349211811E-3</c:v>
                </c:pt>
                <c:pt idx="3">
                  <c:v>3.1131278096198133E-3</c:v>
                </c:pt>
              </c:numCache>
            </c:numRef>
          </c:val>
          <c:extLst>
            <c:ext xmlns:c16="http://schemas.microsoft.com/office/drawing/2014/chart" uri="{C3380CC4-5D6E-409C-BE32-E72D297353CC}">
              <c16:uniqueId val="{00000006-E11C-44FA-87FF-75A8FA862F83}"/>
            </c:ext>
          </c:extLst>
        </c:ser>
        <c:ser>
          <c:idx val="7"/>
          <c:order val="7"/>
          <c:tx>
            <c:strRef>
              <c:f>'Pots and traps over 12m'!$C$99</c:f>
              <c:strCache>
                <c:ptCount val="1"/>
                <c:pt idx="0">
                  <c:v>Pollack</c:v>
                </c:pt>
              </c:strCache>
            </c:strRef>
          </c:tx>
          <c:spPr>
            <a:solidFill>
              <a:srgbClr val="707271"/>
            </a:solidFill>
            <a:ln>
              <a:solidFill>
                <a:srgbClr val="FFFFFF"/>
              </a:solidFill>
            </a:ln>
          </c:spPr>
          <c:invertIfNegative val="0"/>
          <c:cat>
            <c:numRef>
              <c:f>'Pots and traps over 12m'!$D$91:$M$91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'Pots and traps over 12m'!$D$99:$M$99</c:f>
              <c:numCache>
                <c:formatCode>0%</c:formatCode>
                <c:ptCount val="10"/>
                <c:pt idx="2">
                  <c:v>5.2680328548295654E-3</c:v>
                </c:pt>
              </c:numCache>
            </c:numRef>
          </c:val>
          <c:extLst>
            <c:ext xmlns:c16="http://schemas.microsoft.com/office/drawing/2014/chart" uri="{C3380CC4-5D6E-409C-BE32-E72D297353CC}">
              <c16:uniqueId val="{00000007-E11C-44FA-87FF-75A8FA862F83}"/>
            </c:ext>
          </c:extLst>
        </c:ser>
        <c:ser>
          <c:idx val="8"/>
          <c:order val="8"/>
          <c:tx>
            <c:strRef>
              <c:f>'Pots and traps over 12m'!$C$100</c:f>
              <c:strCache>
                <c:ptCount val="1"/>
                <c:pt idx="0">
                  <c:v>Others</c:v>
                </c:pt>
              </c:strCache>
            </c:strRef>
          </c:tx>
          <c:spPr>
            <a:solidFill>
              <a:srgbClr val="55585A"/>
            </a:solidFill>
            <a:ln>
              <a:solidFill>
                <a:srgbClr val="FFFFFF"/>
              </a:solidFill>
            </a:ln>
          </c:spPr>
          <c:invertIfNegative val="0"/>
          <c:cat>
            <c:numRef>
              <c:f>'Pots and traps over 12m'!$D$91:$M$91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'Pots and traps over 12m'!$D$100:$M$100</c:f>
              <c:numCache>
                <c:formatCode>0%</c:formatCode>
                <c:ptCount val="10"/>
                <c:pt idx="0">
                  <c:v>1.1015950990657457E-2</c:v>
                </c:pt>
                <c:pt idx="1">
                  <c:v>1.1736719740002302E-2</c:v>
                </c:pt>
                <c:pt idx="2">
                  <c:v>8.5706840792686215E-3</c:v>
                </c:pt>
                <c:pt idx="3">
                  <c:v>4.1869416164579442E-3</c:v>
                </c:pt>
                <c:pt idx="4">
                  <c:v>4.6455588128891988E-3</c:v>
                </c:pt>
                <c:pt idx="5">
                  <c:v>4.087531948166064E-3</c:v>
                </c:pt>
                <c:pt idx="6">
                  <c:v>3.7125599689069337E-3</c:v>
                </c:pt>
                <c:pt idx="7">
                  <c:v>2.5744683880702711E-3</c:v>
                </c:pt>
                <c:pt idx="8">
                  <c:v>1.9983216367231815E-3</c:v>
                </c:pt>
                <c:pt idx="9">
                  <c:v>4.0576000938539443E-3</c:v>
                </c:pt>
              </c:numCache>
            </c:numRef>
          </c:val>
          <c:extLst>
            <c:ext xmlns:c16="http://schemas.microsoft.com/office/drawing/2014/chart" uri="{C3380CC4-5D6E-409C-BE32-E72D297353CC}">
              <c16:uniqueId val="{00000008-E11C-44FA-87FF-75A8FA862F83}"/>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u250kW'!$A$48</c:f>
          <c:strCache>
            <c:ptCount val="1"/>
            <c:pt idx="0">
              <c:v>Landings per kW day at sea (kg)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89B3-4A92-B7C1-4701D8BE3410}"/>
              </c:ext>
            </c:extLst>
          </c:dPt>
          <c:dPt>
            <c:idx val="10"/>
            <c:bubble3D val="0"/>
            <c:spPr>
              <a:ln w="57150">
                <a:solidFill>
                  <a:srgbClr val="2273B9"/>
                </a:solidFill>
                <a:prstDash val="sysDot"/>
              </a:ln>
            </c:spPr>
            <c:extLst>
              <c:ext xmlns:c16="http://schemas.microsoft.com/office/drawing/2014/chart" uri="{C3380CC4-5D6E-409C-BE32-E72D297353CC}">
                <c16:uniqueId val="{00000003-89B3-4A92-B7C1-4701D8BE3410}"/>
              </c:ext>
            </c:extLst>
          </c:dPt>
          <c:cat>
            <c:numRef>
              <c:f>'Area VIIa nephrops u250kW'!$D$2:$N$2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'Area VIIa nephrops u250kW'!$D$21:$N$21</c:f>
              <c:numCache>
                <c:formatCode>#,##0.00</c:formatCode>
                <c:ptCount val="11"/>
                <c:pt idx="0">
                  <c:v>3.1505870400848828</c:v>
                </c:pt>
                <c:pt idx="1">
                  <c:v>3.3590217052065969</c:v>
                </c:pt>
                <c:pt idx="2">
                  <c:v>3.3961332581277488</c:v>
                </c:pt>
                <c:pt idx="3">
                  <c:v>3.173493963976195</c:v>
                </c:pt>
                <c:pt idx="4">
                  <c:v>2.7335049176467137</c:v>
                </c:pt>
                <c:pt idx="5">
                  <c:v>3.4210155616052056</c:v>
                </c:pt>
                <c:pt idx="6">
                  <c:v>3.3465052515072471</c:v>
                </c:pt>
                <c:pt idx="7">
                  <c:v>3.5067224258126615</c:v>
                </c:pt>
                <c:pt idx="8">
                  <c:v>3.0978682595323872</c:v>
                </c:pt>
                <c:pt idx="9">
                  <c:v>3.3938615118334048</c:v>
                </c:pt>
                <c:pt idx="10">
                  <c:v>3.8413850854183398</c:v>
                </c:pt>
              </c:numCache>
            </c:numRef>
          </c:val>
          <c:smooth val="0"/>
          <c:extLst>
            <c:ext xmlns:c16="http://schemas.microsoft.com/office/drawing/2014/chart" uri="{C3380CC4-5D6E-409C-BE32-E72D297353CC}">
              <c16:uniqueId val="{00000004-89B3-4A92-B7C1-4701D8BE3410}"/>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'Pots and traps over 12m'!$B$162</c:f>
              <c:strCache>
                <c:ptCount val="1"/>
                <c:pt idx="0">
                  <c:v>Brown Crab</c:v>
                </c:pt>
              </c:strCache>
            </c:strRef>
          </c:tx>
          <c:spPr>
            <a:solidFill>
              <a:srgbClr val="2273B9"/>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12m'!$C$162:$E$162</c:f>
              <c:numCache>
                <c:formatCode>0%</c:formatCode>
                <c:ptCount val="3"/>
                <c:pt idx="0">
                  <c:v>0.67691674937270185</c:v>
                </c:pt>
                <c:pt idx="1">
                  <c:v>0.686842281699931</c:v>
                </c:pt>
                <c:pt idx="2">
                  <c:v>0.53074462640556719</c:v>
                </c:pt>
              </c:numCache>
            </c:numRef>
          </c:val>
          <c:extLst>
            <c:ext xmlns:c16="http://schemas.microsoft.com/office/drawing/2014/chart" uri="{C3380CC4-5D6E-409C-BE32-E72D297353CC}">
              <c16:uniqueId val="{00000000-5463-4B17-B3AC-FEE8CD625A57}"/>
            </c:ext>
          </c:extLst>
        </c:ser>
        <c:ser>
          <c:idx val="1"/>
          <c:order val="1"/>
          <c:tx>
            <c:strRef>
              <c:f>'Pots and traps over 12m'!$B$163</c:f>
              <c:strCache>
                <c:ptCount val="1"/>
                <c:pt idx="0">
                  <c:v>Whelks</c:v>
                </c:pt>
              </c:strCache>
            </c:strRef>
          </c:tx>
          <c:spPr>
            <a:solidFill>
              <a:srgbClr val="E87308"/>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12m'!$C$163:$E$163</c:f>
              <c:numCache>
                <c:formatCode>0%</c:formatCode>
                <c:ptCount val="3"/>
                <c:pt idx="0">
                  <c:v>0.3079811058271355</c:v>
                </c:pt>
                <c:pt idx="1">
                  <c:v>0.28272559192148883</c:v>
                </c:pt>
                <c:pt idx="2">
                  <c:v>0.38753039839845538</c:v>
                </c:pt>
              </c:numCache>
            </c:numRef>
          </c:val>
          <c:extLst>
            <c:ext xmlns:c16="http://schemas.microsoft.com/office/drawing/2014/chart" uri="{C3380CC4-5D6E-409C-BE32-E72D297353CC}">
              <c16:uniqueId val="{00000001-5463-4B17-B3AC-FEE8CD625A57}"/>
            </c:ext>
          </c:extLst>
        </c:ser>
        <c:ser>
          <c:idx val="2"/>
          <c:order val="2"/>
          <c:tx>
            <c:strRef>
              <c:f>'Pots and traps over 12m'!$B$164</c:f>
              <c:strCache>
                <c:ptCount val="1"/>
                <c:pt idx="0">
                  <c:v>Lobsters</c:v>
                </c:pt>
              </c:strCache>
            </c:strRef>
          </c:tx>
          <c:spPr>
            <a:solidFill>
              <a:srgbClr val="648C2E"/>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12m'!$C$164:$E$164</c:f>
              <c:numCache>
                <c:formatCode>0%</c:formatCode>
                <c:ptCount val="3"/>
                <c:pt idx="0">
                  <c:v>1.4061486101438668E-2</c:v>
                </c:pt>
                <c:pt idx="1">
                  <c:v>1.7553315189499513E-2</c:v>
                </c:pt>
                <c:pt idx="2">
                  <c:v>4.2378947354333861E-2</c:v>
                </c:pt>
              </c:numCache>
            </c:numRef>
          </c:val>
          <c:extLst>
            <c:ext xmlns:c16="http://schemas.microsoft.com/office/drawing/2014/chart" uri="{C3380CC4-5D6E-409C-BE32-E72D297353CC}">
              <c16:uniqueId val="{00000002-5463-4B17-B3AC-FEE8CD625A57}"/>
            </c:ext>
          </c:extLst>
        </c:ser>
        <c:ser>
          <c:idx val="3"/>
          <c:order val="3"/>
          <c:tx>
            <c:strRef>
              <c:f>'Pots and traps over 12m'!$B$165</c:f>
              <c:strCache>
                <c:ptCount val="1"/>
                <c:pt idx="0">
                  <c:v>Nephrops</c:v>
                </c:pt>
              </c:strCache>
            </c:strRef>
          </c:tx>
          <c:spPr>
            <a:solidFill>
              <a:srgbClr val="C1D119"/>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12m'!$C$165:$E$165</c:f>
              <c:numCache>
                <c:formatCode>0%</c:formatCode>
                <c:ptCount val="3"/>
                <c:pt idx="0">
                  <c:v>0</c:v>
                </c:pt>
                <c:pt idx="1">
                  <c:v>7.6016377601579458E-3</c:v>
                </c:pt>
                <c:pt idx="2">
                  <c:v>0</c:v>
                </c:pt>
              </c:numCache>
            </c:numRef>
          </c:val>
          <c:extLst>
            <c:ext xmlns:c16="http://schemas.microsoft.com/office/drawing/2014/chart" uri="{C3380CC4-5D6E-409C-BE32-E72D297353CC}">
              <c16:uniqueId val="{00000003-5463-4B17-B3AC-FEE8CD625A57}"/>
            </c:ext>
          </c:extLst>
        </c:ser>
        <c:ser>
          <c:idx val="4"/>
          <c:order val="4"/>
          <c:tx>
            <c:strRef>
              <c:f>'Pots and traps over 12m'!$B$166</c:f>
              <c:strCache>
                <c:ptCount val="1"/>
                <c:pt idx="0">
                  <c:v>Scallops</c:v>
                </c:pt>
              </c:strCache>
            </c:strRef>
          </c:tx>
          <c:spPr>
            <a:solidFill>
              <a:srgbClr val="E84A38"/>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12m'!$C$166:$E$166</c:f>
              <c:numCache>
                <c:formatCode>0%</c:formatCode>
                <c:ptCount val="3"/>
                <c:pt idx="0">
                  <c:v>0</c:v>
                </c:pt>
                <c:pt idx="1">
                  <c:v>1.6434931027715246E-3</c:v>
                </c:pt>
                <c:pt idx="2">
                  <c:v>2.4500769301530279E-2</c:v>
                </c:pt>
              </c:numCache>
            </c:numRef>
          </c:val>
          <c:extLst>
            <c:ext xmlns:c16="http://schemas.microsoft.com/office/drawing/2014/chart" uri="{C3380CC4-5D6E-409C-BE32-E72D297353CC}">
              <c16:uniqueId val="{00000004-5463-4B17-B3AC-FEE8CD625A57}"/>
            </c:ext>
          </c:extLst>
        </c:ser>
        <c:ser>
          <c:idx val="5"/>
          <c:order val="5"/>
          <c:tx>
            <c:strRef>
              <c:f>'Pots and traps over 12m'!$B$167</c:f>
              <c:strCache>
                <c:ptCount val="1"/>
                <c:pt idx="0">
                  <c:v>Spider Crabs</c:v>
                </c:pt>
              </c:strCache>
            </c:strRef>
          </c:tx>
          <c:spPr>
            <a:solidFill>
              <a:srgbClr val="0F9AA9"/>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12m'!$C$167:$E$167</c:f>
              <c:numCache>
                <c:formatCode>0%</c:formatCode>
                <c:ptCount val="3"/>
                <c:pt idx="0">
                  <c:v>0</c:v>
                </c:pt>
                <c:pt idx="1">
                  <c:v>0</c:v>
                </c:pt>
                <c:pt idx="2">
                  <c:v>1.2107544930745253E-2</c:v>
                </c:pt>
              </c:numCache>
            </c:numRef>
          </c:val>
          <c:extLst>
            <c:ext xmlns:c16="http://schemas.microsoft.com/office/drawing/2014/chart" uri="{C3380CC4-5D6E-409C-BE32-E72D297353CC}">
              <c16:uniqueId val="{00000005-5463-4B17-B3AC-FEE8CD625A57}"/>
            </c:ext>
          </c:extLst>
        </c:ser>
        <c:ser>
          <c:idx val="6"/>
          <c:order val="6"/>
          <c:tx>
            <c:strRef>
              <c:f>'Pots and traps over 12m'!$B$168</c:f>
              <c:strCache>
                <c:ptCount val="1"/>
                <c:pt idx="0">
                  <c:v>Velvet Crab</c:v>
                </c:pt>
              </c:strCache>
            </c:strRef>
          </c:tx>
          <c:spPr>
            <a:solidFill>
              <a:srgbClr val="FED825"/>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12m'!$C$168:$E$168</c:f>
              <c:numCache>
                <c:formatCode>0%</c:formatCode>
                <c:ptCount val="3"/>
                <c:pt idx="0">
                  <c:v>2.8378280738756951E-4</c:v>
                </c:pt>
                <c:pt idx="1">
                  <c:v>0</c:v>
                </c:pt>
                <c:pt idx="2">
                  <c:v>0</c:v>
                </c:pt>
              </c:numCache>
            </c:numRef>
          </c:val>
          <c:extLst>
            <c:ext xmlns:c16="http://schemas.microsoft.com/office/drawing/2014/chart" uri="{C3380CC4-5D6E-409C-BE32-E72D297353CC}">
              <c16:uniqueId val="{00000006-5463-4B17-B3AC-FEE8CD625A57}"/>
            </c:ext>
          </c:extLst>
        </c:ser>
        <c:ser>
          <c:idx val="7"/>
          <c:order val="7"/>
          <c:tx>
            <c:strRef>
              <c:f>'Pots and traps over 12m'!$B$169</c:f>
              <c:strCache>
                <c:ptCount val="1"/>
                <c:pt idx="0">
                  <c:v>Others</c:v>
                </c:pt>
              </c:strCache>
            </c:strRef>
          </c:tx>
          <c:spPr>
            <a:solidFill>
              <a:srgbClr val="55585A"/>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12m'!$C$169:$E$169</c:f>
              <c:numCache>
                <c:formatCode>0%</c:formatCode>
                <c:ptCount val="3"/>
                <c:pt idx="0">
                  <c:v>2.297629521176292E-4</c:v>
                </c:pt>
                <c:pt idx="1">
                  <c:v>3.6336803261510786E-3</c:v>
                </c:pt>
                <c:pt idx="2">
                  <c:v>2.737713609368031E-3</c:v>
                </c:pt>
              </c:numCache>
            </c:numRef>
          </c:val>
          <c:extLst>
            <c:ext xmlns:c16="http://schemas.microsoft.com/office/drawing/2014/chart" uri="{C3380CC4-5D6E-409C-BE32-E72D297353CC}">
              <c16:uniqueId val="{00000007-5463-4B17-B3AC-FEE8CD625A57}"/>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'Pots and traps over 12m'!$H$162</c:f>
              <c:strCache>
                <c:ptCount val="1"/>
                <c:pt idx="0">
                  <c:v>Brown Crab</c:v>
                </c:pt>
              </c:strCache>
            </c:strRef>
          </c:tx>
          <c:spPr>
            <a:solidFill>
              <a:srgbClr val="2273B9"/>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12m'!$I$162:$K$162</c:f>
              <c:numCache>
                <c:formatCode>0%</c:formatCode>
                <c:ptCount val="3"/>
                <c:pt idx="0">
                  <c:v>0.72447071538224372</c:v>
                </c:pt>
                <c:pt idx="1">
                  <c:v>0.7073137887694575</c:v>
                </c:pt>
                <c:pt idx="2">
                  <c:v>0.52185741654008289</c:v>
                </c:pt>
              </c:numCache>
            </c:numRef>
          </c:val>
          <c:extLst>
            <c:ext xmlns:c16="http://schemas.microsoft.com/office/drawing/2014/chart" uri="{C3380CC4-5D6E-409C-BE32-E72D297353CC}">
              <c16:uniqueId val="{00000000-3492-46AA-BF4B-DD5EDDEC6A0C}"/>
            </c:ext>
          </c:extLst>
        </c:ser>
        <c:ser>
          <c:idx val="1"/>
          <c:order val="1"/>
          <c:tx>
            <c:strRef>
              <c:f>'Pots and traps over 12m'!$H$163</c:f>
              <c:strCache>
                <c:ptCount val="1"/>
                <c:pt idx="0">
                  <c:v>Whelks</c:v>
                </c:pt>
              </c:strCache>
            </c:strRef>
          </c:tx>
          <c:spPr>
            <a:solidFill>
              <a:srgbClr val="E87308"/>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12m'!$I$163:$K$163</c:f>
              <c:numCache>
                <c:formatCode>0%</c:formatCode>
                <c:ptCount val="3"/>
                <c:pt idx="0">
                  <c:v>0.17528256156131966</c:v>
                </c:pt>
                <c:pt idx="1">
                  <c:v>0.15829961376011994</c:v>
                </c:pt>
                <c:pt idx="2">
                  <c:v>0.20706480020017798</c:v>
                </c:pt>
              </c:numCache>
            </c:numRef>
          </c:val>
          <c:extLst>
            <c:ext xmlns:c16="http://schemas.microsoft.com/office/drawing/2014/chart" uri="{C3380CC4-5D6E-409C-BE32-E72D297353CC}">
              <c16:uniqueId val="{00000001-3492-46AA-BF4B-DD5EDDEC6A0C}"/>
            </c:ext>
          </c:extLst>
        </c:ser>
        <c:ser>
          <c:idx val="2"/>
          <c:order val="2"/>
          <c:tx>
            <c:strRef>
              <c:f>'Pots and traps over 12m'!$H$164</c:f>
              <c:strCache>
                <c:ptCount val="1"/>
                <c:pt idx="0">
                  <c:v>Lobsters</c:v>
                </c:pt>
              </c:strCache>
            </c:strRef>
          </c:tx>
          <c:spPr>
            <a:solidFill>
              <a:srgbClr val="648C2E"/>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12m'!$I$164:$K$164</c:f>
              <c:numCache>
                <c:formatCode>0%</c:formatCode>
                <c:ptCount val="3"/>
                <c:pt idx="0">
                  <c:v>9.9676562533104238E-2</c:v>
                </c:pt>
                <c:pt idx="1">
                  <c:v>0.10681977430841798</c:v>
                </c:pt>
                <c:pt idx="2">
                  <c:v>0.23969359350345162</c:v>
                </c:pt>
              </c:numCache>
            </c:numRef>
          </c:val>
          <c:extLst>
            <c:ext xmlns:c16="http://schemas.microsoft.com/office/drawing/2014/chart" uri="{C3380CC4-5D6E-409C-BE32-E72D297353CC}">
              <c16:uniqueId val="{00000002-3492-46AA-BF4B-DD5EDDEC6A0C}"/>
            </c:ext>
          </c:extLst>
        </c:ser>
        <c:ser>
          <c:idx val="3"/>
          <c:order val="3"/>
          <c:tx>
            <c:strRef>
              <c:f>'Pots and traps over 12m'!$H$165</c:f>
              <c:strCache>
                <c:ptCount val="1"/>
                <c:pt idx="0">
                  <c:v>Nephrops</c:v>
                </c:pt>
              </c:strCache>
            </c:strRef>
          </c:tx>
          <c:spPr>
            <a:solidFill>
              <a:srgbClr val="C1D119"/>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12m'!$I$165:$K$165</c:f>
              <c:numCache>
                <c:formatCode>0%</c:formatCode>
                <c:ptCount val="3"/>
                <c:pt idx="0">
                  <c:v>0</c:v>
                </c:pt>
                <c:pt idx="1">
                  <c:v>2.3691541951354513E-2</c:v>
                </c:pt>
                <c:pt idx="2">
                  <c:v>0</c:v>
                </c:pt>
              </c:numCache>
            </c:numRef>
          </c:val>
          <c:extLst>
            <c:ext xmlns:c16="http://schemas.microsoft.com/office/drawing/2014/chart" uri="{C3380CC4-5D6E-409C-BE32-E72D297353CC}">
              <c16:uniqueId val="{00000003-3492-46AA-BF4B-DD5EDDEC6A0C}"/>
            </c:ext>
          </c:extLst>
        </c:ser>
        <c:ser>
          <c:idx val="4"/>
          <c:order val="4"/>
          <c:tx>
            <c:strRef>
              <c:f>'Pots and traps over 12m'!$H$166</c:f>
              <c:strCache>
                <c:ptCount val="1"/>
                <c:pt idx="0">
                  <c:v>Scallops</c:v>
                </c:pt>
              </c:strCache>
            </c:strRef>
          </c:tx>
          <c:spPr>
            <a:solidFill>
              <a:srgbClr val="E84A38"/>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12m'!$I$166:$K$166</c:f>
              <c:numCache>
                <c:formatCode>0%</c:formatCode>
                <c:ptCount val="3"/>
                <c:pt idx="0">
                  <c:v>0</c:v>
                </c:pt>
                <c:pt idx="1">
                  <c:v>1.436200398917402E-3</c:v>
                </c:pt>
                <c:pt idx="2">
                  <c:v>2.2967487953625434E-2</c:v>
                </c:pt>
              </c:numCache>
            </c:numRef>
          </c:val>
          <c:extLst>
            <c:ext xmlns:c16="http://schemas.microsoft.com/office/drawing/2014/chart" uri="{C3380CC4-5D6E-409C-BE32-E72D297353CC}">
              <c16:uniqueId val="{00000004-3492-46AA-BF4B-DD5EDDEC6A0C}"/>
            </c:ext>
          </c:extLst>
        </c:ser>
        <c:ser>
          <c:idx val="5"/>
          <c:order val="5"/>
          <c:tx>
            <c:strRef>
              <c:f>'Pots and traps over 12m'!$H$167</c:f>
              <c:strCache>
                <c:ptCount val="1"/>
                <c:pt idx="0">
                  <c:v>Spider Crabs</c:v>
                </c:pt>
              </c:strCache>
            </c:strRef>
          </c:tx>
          <c:spPr>
            <a:solidFill>
              <a:srgbClr val="0F9AA9"/>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12m'!$I$167:$K$167</c:f>
              <c:numCache>
                <c:formatCode>0%</c:formatCode>
                <c:ptCount val="3"/>
                <c:pt idx="0">
                  <c:v>0</c:v>
                </c:pt>
                <c:pt idx="1">
                  <c:v>0</c:v>
                </c:pt>
                <c:pt idx="2">
                  <c:v>4.5275241818408226E-3</c:v>
                </c:pt>
              </c:numCache>
            </c:numRef>
          </c:val>
          <c:extLst>
            <c:ext xmlns:c16="http://schemas.microsoft.com/office/drawing/2014/chart" uri="{C3380CC4-5D6E-409C-BE32-E72D297353CC}">
              <c16:uniqueId val="{00000005-3492-46AA-BF4B-DD5EDDEC6A0C}"/>
            </c:ext>
          </c:extLst>
        </c:ser>
        <c:ser>
          <c:idx val="6"/>
          <c:order val="6"/>
          <c:tx>
            <c:strRef>
              <c:f>'Pots and traps over 12m'!$H$168</c:f>
              <c:strCache>
                <c:ptCount val="1"/>
                <c:pt idx="0">
                  <c:v>Velvet Crab</c:v>
                </c:pt>
              </c:strCache>
            </c:strRef>
          </c:tx>
          <c:spPr>
            <a:solidFill>
              <a:srgbClr val="FED825"/>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12m'!$I$168:$K$168</c:f>
              <c:numCache>
                <c:formatCode>0%</c:formatCode>
                <c:ptCount val="3"/>
                <c:pt idx="0">
                  <c:v>2.2369740720883417E-4</c:v>
                </c:pt>
                <c:pt idx="1">
                  <c:v>0</c:v>
                </c:pt>
                <c:pt idx="2">
                  <c:v>0</c:v>
                </c:pt>
              </c:numCache>
            </c:numRef>
          </c:val>
          <c:extLst>
            <c:ext xmlns:c16="http://schemas.microsoft.com/office/drawing/2014/chart" uri="{C3380CC4-5D6E-409C-BE32-E72D297353CC}">
              <c16:uniqueId val="{00000006-3492-46AA-BF4B-DD5EDDEC6A0C}"/>
            </c:ext>
          </c:extLst>
        </c:ser>
        <c:ser>
          <c:idx val="7"/>
          <c:order val="7"/>
          <c:tx>
            <c:strRef>
              <c:f>'Pots and traps over 12m'!$H$169</c:f>
              <c:strCache>
                <c:ptCount val="1"/>
                <c:pt idx="0">
                  <c:v>Wrasses</c:v>
                </c:pt>
              </c:strCache>
            </c:strRef>
          </c:tx>
          <c:spPr>
            <a:solidFill>
              <a:srgbClr val="707271"/>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12m'!$I$169:$K$169</c:f>
              <c:numCache>
                <c:formatCode>0%</c:formatCode>
                <c:ptCount val="3"/>
                <c:pt idx="0">
                  <c:v>1.5412625721257593E-4</c:v>
                </c:pt>
                <c:pt idx="1">
                  <c:v>0</c:v>
                </c:pt>
                <c:pt idx="2">
                  <c:v>0</c:v>
                </c:pt>
              </c:numCache>
            </c:numRef>
          </c:val>
          <c:extLst>
            <c:ext xmlns:c16="http://schemas.microsoft.com/office/drawing/2014/chart" uri="{C3380CC4-5D6E-409C-BE32-E72D297353CC}">
              <c16:uniqueId val="{00000007-3492-46AA-BF4B-DD5EDDEC6A0C}"/>
            </c:ext>
          </c:extLst>
        </c:ser>
        <c:ser>
          <c:idx val="8"/>
          <c:order val="8"/>
          <c:tx>
            <c:strRef>
              <c:f>'Pots and traps over 12m'!$H$170</c:f>
              <c:strCache>
                <c:ptCount val="1"/>
                <c:pt idx="0">
                  <c:v>Others</c:v>
                </c:pt>
              </c:strCache>
            </c:strRef>
          </c:tx>
          <c:spPr>
            <a:solidFill>
              <a:srgbClr val="55585A"/>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12m'!$I$170:$K$170</c:f>
              <c:numCache>
                <c:formatCode>0%</c:formatCode>
                <c:ptCount val="3"/>
                <c:pt idx="0">
                  <c:v>1.9233685891095753E-4</c:v>
                </c:pt>
                <c:pt idx="1">
                  <c:v>2.439080811732719E-3</c:v>
                </c:pt>
                <c:pt idx="2">
                  <c:v>3.8891776208211937E-3</c:v>
                </c:pt>
              </c:numCache>
            </c:numRef>
          </c:val>
          <c:extLst>
            <c:ext xmlns:c16="http://schemas.microsoft.com/office/drawing/2014/chart" uri="{C3380CC4-5D6E-409C-BE32-E72D297353CC}">
              <c16:uniqueId val="{00000008-3492-46AA-BF4B-DD5EDDEC6A0C}"/>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'Pots and traps over 12m'!$K$139</c:f>
              <c:strCache>
                <c:ptCount val="1"/>
                <c:pt idx="0">
                  <c:v>Total income</c:v>
                </c:pt>
              </c:strCache>
            </c:strRef>
          </c:tx>
          <c:spPr>
            <a:solidFill>
              <a:srgbClr val="087CBB"/>
            </a:solidFill>
            <a:ln>
              <a:solidFill>
                <a:schemeClr val="accent1"/>
              </a:solidFill>
            </a:ln>
          </c:spPr>
          <c:invertIfNegative val="0"/>
          <c:cat>
            <c:strRef>
              <c:f>'Pots and traps over 12m'!$L$138:$N$138</c:f>
              <c:strCache>
                <c:ptCount val="3"/>
                <c:pt idx="0">
                  <c:v>Most
profitable
quartile</c:v>
                </c:pt>
                <c:pt idx="1">
                  <c:v>Middle
two quartiles</c:v>
                </c:pt>
                <c:pt idx="2">
                  <c:v>Least
profitable
quartile</c:v>
                </c:pt>
              </c:strCache>
            </c:strRef>
          </c:cat>
          <c:val>
            <c:numRef>
              <c:f>'Pots and traps over 12m'!$L$139:$N$139</c:f>
              <c:numCache>
                <c:formatCode>#,##0</c:formatCode>
                <c:ptCount val="3"/>
                <c:pt idx="0">
                  <c:v>1199.8786250000001</c:v>
                </c:pt>
                <c:pt idx="1">
                  <c:v>502.32242275943401</c:v>
                </c:pt>
                <c:pt idx="2">
                  <c:v>178.32342187500001</c:v>
                </c:pt>
              </c:numCache>
            </c:numRef>
          </c:val>
          <c:extLst>
            <c:ext xmlns:c16="http://schemas.microsoft.com/office/drawing/2014/chart" uri="{C3380CC4-5D6E-409C-BE32-E72D297353CC}">
              <c16:uniqueId val="{00000000-DA30-4F78-9683-3CE9D4D551C4}"/>
            </c:ext>
          </c:extLst>
        </c:ser>
        <c:ser>
          <c:idx val="1"/>
          <c:order val="1"/>
          <c:tx>
            <c:strRef>
              <c:f>'Pots and traps over 12m'!$K$140</c:f>
              <c:strCache>
                <c:ptCount val="1"/>
                <c:pt idx="0">
                  <c:v>Operating costs</c:v>
                </c:pt>
              </c:strCache>
            </c:strRef>
          </c:tx>
          <c:spPr>
            <a:solidFill>
              <a:srgbClr val="E87308"/>
            </a:solidFill>
          </c:spPr>
          <c:invertIfNegative val="0"/>
          <c:cat>
            <c:strRef>
              <c:f>'Pots and traps over 12m'!$L$138:$N$138</c:f>
              <c:strCache>
                <c:ptCount val="3"/>
                <c:pt idx="0">
                  <c:v>Most
profitable
quartile</c:v>
                </c:pt>
                <c:pt idx="1">
                  <c:v>Middle
two quartiles</c:v>
                </c:pt>
                <c:pt idx="2">
                  <c:v>Least
profitable
quartile</c:v>
                </c:pt>
              </c:strCache>
            </c:strRef>
          </c:cat>
          <c:val>
            <c:numRef>
              <c:f>'Pots and traps over 12m'!$L$140:$N$140</c:f>
              <c:numCache>
                <c:formatCode>#,##0</c:formatCode>
                <c:ptCount val="3"/>
                <c:pt idx="0">
                  <c:v>876.73074999999994</c:v>
                </c:pt>
                <c:pt idx="1">
                  <c:v>396.51712028301898</c:v>
                </c:pt>
                <c:pt idx="2">
                  <c:v>165.464015625</c:v>
                </c:pt>
              </c:numCache>
            </c:numRef>
          </c:val>
          <c:extLst>
            <c:ext xmlns:c16="http://schemas.microsoft.com/office/drawing/2014/chart" uri="{C3380CC4-5D6E-409C-BE32-E72D297353CC}">
              <c16:uniqueId val="{00000001-DA30-4F78-9683-3CE9D4D551C4}"/>
            </c:ext>
          </c:extLst>
        </c:ser>
        <c:ser>
          <c:idx val="2"/>
          <c:order val="2"/>
          <c:tx>
            <c:strRef>
              <c:f>'Pots and traps over 12m'!$K$141</c:f>
              <c:strCache>
                <c:ptCount val="1"/>
                <c:pt idx="0">
                  <c:v>Operating profit</c:v>
                </c:pt>
              </c:strCache>
            </c:strRef>
          </c:tx>
          <c:spPr>
            <a:solidFill>
              <a:srgbClr val="51AA81"/>
            </a:solidFill>
          </c:spPr>
          <c:invertIfNegative val="0"/>
          <c:cat>
            <c:strRef>
              <c:f>'Pots and traps over 12m'!$L$138:$N$138</c:f>
              <c:strCache>
                <c:ptCount val="3"/>
                <c:pt idx="0">
                  <c:v>Most
profitable
quartile</c:v>
                </c:pt>
                <c:pt idx="1">
                  <c:v>Middle
two quartiles</c:v>
                </c:pt>
                <c:pt idx="2">
                  <c:v>Least
profitable
quartile</c:v>
                </c:pt>
              </c:strCache>
            </c:strRef>
          </c:cat>
          <c:val>
            <c:numRef>
              <c:f>'Pots and traps over 12m'!$L$141:$N$141</c:f>
              <c:numCache>
                <c:formatCode>#,##0</c:formatCode>
                <c:ptCount val="3"/>
                <c:pt idx="0">
                  <c:v>323.147875</c:v>
                </c:pt>
                <c:pt idx="1">
                  <c:v>105.80530247641499</c:v>
                </c:pt>
                <c:pt idx="2">
                  <c:v>12.859406249999999</c:v>
                </c:pt>
              </c:numCache>
            </c:numRef>
          </c:val>
          <c:extLst>
            <c:ext xmlns:c16="http://schemas.microsoft.com/office/drawing/2014/chart" uri="{C3380CC4-5D6E-409C-BE32-E72D297353CC}">
              <c16:uniqueId val="{00000002-DA30-4F78-9683-3CE9D4D551C4}"/>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'Pots and traps over 12m'!$K$142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o250kW'!$A$48</c:f>
          <c:strCache>
            <c:ptCount val="1"/>
            <c:pt idx="0">
              <c:v>Landings per kW day at sea (kg)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7337-4999-9140-1DA0804291C1}"/>
              </c:ext>
            </c:extLst>
          </c:dPt>
          <c:dPt>
            <c:idx val="10"/>
            <c:bubble3D val="0"/>
            <c:spPr>
              <a:ln w="57150">
                <a:solidFill>
                  <a:srgbClr val="2273B9"/>
                </a:solidFill>
                <a:prstDash val="sysDot"/>
              </a:ln>
            </c:spPr>
            <c:extLst>
              <c:ext xmlns:c16="http://schemas.microsoft.com/office/drawing/2014/chart" uri="{C3380CC4-5D6E-409C-BE32-E72D297353CC}">
                <c16:uniqueId val="{00000003-7337-4999-9140-1DA0804291C1}"/>
              </c:ext>
            </c:extLst>
          </c:dPt>
          <c:cat>
            <c:numRef>
              <c:f>'South West beamers o250kW'!$D$2:$N$2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'South West beamers o250kW'!$D$21:$N$21</c:f>
              <c:numCache>
                <c:formatCode>#,##0.00</c:formatCode>
                <c:ptCount val="11"/>
                <c:pt idx="0">
                  <c:v>1.9447497800508939</c:v>
                </c:pt>
                <c:pt idx="1">
                  <c:v>2.0418818543647177</c:v>
                </c:pt>
                <c:pt idx="2">
                  <c:v>2.284056788630092</c:v>
                </c:pt>
                <c:pt idx="3">
                  <c:v>2.176908811754287</c:v>
                </c:pt>
                <c:pt idx="4">
                  <c:v>2.0186501234681971</c:v>
                </c:pt>
                <c:pt idx="5">
                  <c:v>2.2926983898693432</c:v>
                </c:pt>
                <c:pt idx="6">
                  <c:v>2.1799462159080503</c:v>
                </c:pt>
                <c:pt idx="7">
                  <c:v>2.1028973079814604</c:v>
                </c:pt>
                <c:pt idx="8">
                  <c:v>1.9874593747907627</c:v>
                </c:pt>
                <c:pt idx="9">
                  <c:v>2.1976702864663302</c:v>
                </c:pt>
                <c:pt idx="10">
                  <c:v>2.109572295360203</c:v>
                </c:pt>
              </c:numCache>
            </c:numRef>
          </c:val>
          <c:smooth val="0"/>
          <c:extLst>
            <c:ext xmlns:c16="http://schemas.microsoft.com/office/drawing/2014/chart" uri="{C3380CC4-5D6E-409C-BE32-E72D297353CC}">
              <c16:uniqueId val="{00000004-7337-4999-9140-1DA0804291C1}"/>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o250kW'!$A$49</c:f>
          <c:strCache>
            <c:ptCount val="1"/>
            <c:pt idx="0">
              <c:v>Fishing income per kW day at sea (£)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23DB-4D96-896D-DDDD62671EF3}"/>
              </c:ext>
            </c:extLst>
          </c:dPt>
          <c:dPt>
            <c:idx val="10"/>
            <c:bubble3D val="0"/>
            <c:spPr>
              <a:ln w="57150">
                <a:solidFill>
                  <a:srgbClr val="648C2E"/>
                </a:solidFill>
                <a:prstDash val="sysDot"/>
              </a:ln>
            </c:spPr>
            <c:extLst>
              <c:ext xmlns:c16="http://schemas.microsoft.com/office/drawing/2014/chart" uri="{C3380CC4-5D6E-409C-BE32-E72D297353CC}">
                <c16:uniqueId val="{00000003-23DB-4D96-896D-DDDD62671EF3}"/>
              </c:ext>
            </c:extLst>
          </c:dPt>
          <c:cat>
            <c:numRef>
              <c:f>'South West beamers o250kW'!$D$2:$N$2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'South West beamers o250kW'!$D$22:$N$22</c:f>
              <c:numCache>
                <c:formatCode>#,##0.00</c:formatCode>
                <c:ptCount val="11"/>
                <c:pt idx="0">
                  <c:v>6.1900052322259302</c:v>
                </c:pt>
                <c:pt idx="1">
                  <c:v>7.0240206541842403</c:v>
                </c:pt>
                <c:pt idx="2">
                  <c:v>6.56825796707792</c:v>
                </c:pt>
                <c:pt idx="3">
                  <c:v>6.2398212475918502</c:v>
                </c:pt>
                <c:pt idx="4">
                  <c:v>5.9112716812331296</c:v>
                </c:pt>
                <c:pt idx="5">
                  <c:v>6.2760834249456998</c:v>
                </c:pt>
                <c:pt idx="6">
                  <c:v>7.23489991638953</c:v>
                </c:pt>
                <c:pt idx="7">
                  <c:v>7.7355889087026997</c:v>
                </c:pt>
                <c:pt idx="8">
                  <c:v>7.7284183164384297</c:v>
                </c:pt>
                <c:pt idx="9">
                  <c:v>7.9539681414814298</c:v>
                </c:pt>
                <c:pt idx="10">
                  <c:v>6.7918242111966194</c:v>
                </c:pt>
              </c:numCache>
            </c:numRef>
          </c:val>
          <c:smooth val="0"/>
          <c:extLst>
            <c:ext xmlns:c16="http://schemas.microsoft.com/office/drawing/2014/chart" uri="{C3380CC4-5D6E-409C-BE32-E72D297353CC}">
              <c16:uniqueId val="{00000004-23DB-4D96-896D-DDDD62671EF3}"/>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o250kW'!$B$62</c:f>
          <c:strCache>
            <c:ptCount val="1"/>
            <c:pt idx="0">
              <c:v>Total cost per kW day at sea (£)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2F39-4977-BC8C-5BDEED2E2492}"/>
              </c:ext>
            </c:extLst>
          </c:dPt>
          <c:dPt>
            <c:idx val="10"/>
            <c:bubble3D val="0"/>
            <c:spPr>
              <a:ln w="57150">
                <a:solidFill>
                  <a:srgbClr val="087CBB"/>
                </a:solidFill>
                <a:prstDash val="sysDot"/>
              </a:ln>
            </c:spPr>
            <c:extLst>
              <c:ext xmlns:c16="http://schemas.microsoft.com/office/drawing/2014/chart" uri="{C3380CC4-5D6E-409C-BE32-E72D297353CC}">
                <c16:uniqueId val="{00000003-2F39-4977-BC8C-5BDEED2E2492}"/>
              </c:ext>
            </c:extLst>
          </c:dPt>
          <c:cat>
            <c:numRef>
              <c:f>'South West beamers o250kW'!$D$2:$N$2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'South West beamers o250kW'!$D$23:$N$23</c:f>
              <c:numCache>
                <c:formatCode>#,##0.00</c:formatCode>
                <c:ptCount val="11"/>
                <c:pt idx="0">
                  <c:v>5.4788458747885702</c:v>
                </c:pt>
                <c:pt idx="1">
                  <c:v>6.3442490816871198</c:v>
                </c:pt>
                <c:pt idx="2">
                  <c:v>6.5336424254553496</c:v>
                </c:pt>
                <c:pt idx="3">
                  <c:v>6.1540338824398697</c:v>
                </c:pt>
                <c:pt idx="4">
                  <c:v>5.8898820225479502</c:v>
                </c:pt>
                <c:pt idx="5">
                  <c:v>7.2895769414162297</c:v>
                </c:pt>
                <c:pt idx="6">
                  <c:v>6.0413896835138496</c:v>
                </c:pt>
                <c:pt idx="7">
                  <c:v>6.4754343991814096</c:v>
                </c:pt>
                <c:pt idx="8">
                  <c:v>6.8620781719398796</c:v>
                </c:pt>
                <c:pt idx="9">
                  <c:v>7.2833058984975398</c:v>
                </c:pt>
                <c:pt idx="10">
                  <c:v>6.3211798121135478</c:v>
                </c:pt>
              </c:numCache>
            </c:numRef>
          </c:val>
          <c:smooth val="0"/>
          <c:extLst>
            <c:ext xmlns:c16="http://schemas.microsoft.com/office/drawing/2014/chart" uri="{C3380CC4-5D6E-409C-BE32-E72D297353CC}">
              <c16:uniqueId val="{00000004-2F39-4977-BC8C-5BDEED2E2492}"/>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o250kW'!$K$48</c:f>
          <c:strCache>
            <c:ptCount val="1"/>
            <c:pt idx="0">
              <c:v>Operating profit per kW day at sea (£)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9444-456C-BE21-12D4EA3F174B}"/>
              </c:ext>
            </c:extLst>
          </c:dPt>
          <c:dPt>
            <c:idx val="10"/>
            <c:bubble3D val="0"/>
            <c:spPr>
              <a:ln w="57150">
                <a:solidFill>
                  <a:schemeClr val="accent3"/>
                </a:solidFill>
                <a:prstDash val="sysDot"/>
              </a:ln>
            </c:spPr>
            <c:extLst>
              <c:ext xmlns:c16="http://schemas.microsoft.com/office/drawing/2014/chart" uri="{C3380CC4-5D6E-409C-BE32-E72D297353CC}">
                <c16:uniqueId val="{00000003-9444-456C-BE21-12D4EA3F174B}"/>
              </c:ext>
            </c:extLst>
          </c:dPt>
          <c:cat>
            <c:numRef>
              <c:f>'South West beamers o250kW'!$D$2:$N$2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'South West beamers o250kW'!$D$24:$N$24</c:f>
              <c:numCache>
                <c:formatCode>#,##0.00</c:formatCode>
                <c:ptCount val="11"/>
                <c:pt idx="0">
                  <c:v>0.80871052681559197</c:v>
                </c:pt>
                <c:pt idx="1">
                  <c:v>0.79672961679661203</c:v>
                </c:pt>
                <c:pt idx="2">
                  <c:v>0.25792400441718399</c:v>
                </c:pt>
                <c:pt idx="3">
                  <c:v>0.10766794584181</c:v>
                </c:pt>
                <c:pt idx="4">
                  <c:v>0.49645732196421499</c:v>
                </c:pt>
                <c:pt idx="5">
                  <c:v>0.593965912835413</c:v>
                </c:pt>
                <c:pt idx="6">
                  <c:v>1.1935102328756699</c:v>
                </c:pt>
                <c:pt idx="7">
                  <c:v>1.2735050240238599</c:v>
                </c:pt>
                <c:pt idx="8">
                  <c:v>0.86810916664119897</c:v>
                </c:pt>
                <c:pt idx="9">
                  <c:v>0.67069241194812601</c:v>
                </c:pt>
                <c:pt idx="10">
                  <c:v>0.47380839964727756</c:v>
                </c:pt>
              </c:numCache>
            </c:numRef>
          </c:val>
          <c:smooth val="0"/>
          <c:extLst>
            <c:ext xmlns:c16="http://schemas.microsoft.com/office/drawing/2014/chart" uri="{C3380CC4-5D6E-409C-BE32-E72D297353CC}">
              <c16:uniqueId val="{00000004-9444-456C-BE21-12D4EA3F174B}"/>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o250kW'!$A$50</c:f>
          <c:strCache>
            <c:ptCount val="1"/>
            <c:pt idx="0">
              <c:v>Average price per tonne landed (£)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F4AC-494E-B2C0-A35731F5E3FB}"/>
              </c:ext>
            </c:extLst>
          </c:dPt>
          <c:dPt>
            <c:idx val="10"/>
            <c:bubble3D val="0"/>
            <c:spPr>
              <a:ln w="57150">
                <a:solidFill>
                  <a:schemeClr val="accent4"/>
                </a:solidFill>
                <a:prstDash val="sysDot"/>
              </a:ln>
            </c:spPr>
            <c:extLst>
              <c:ext xmlns:c16="http://schemas.microsoft.com/office/drawing/2014/chart" uri="{C3380CC4-5D6E-409C-BE32-E72D297353CC}">
                <c16:uniqueId val="{00000003-F4AC-494E-B2C0-A35731F5E3FB}"/>
              </c:ext>
            </c:extLst>
          </c:dPt>
          <c:cat>
            <c:numRef>
              <c:f>'South West beamers o250kW'!$D$2:$M$2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'South West beamers o250kW'!$D$20:$N$20</c:f>
              <c:numCache>
                <c:formatCode>#,##0</c:formatCode>
                <c:ptCount val="11"/>
                <c:pt idx="0">
                  <c:v>3183</c:v>
                </c:pt>
                <c:pt idx="1">
                  <c:v>3440</c:v>
                </c:pt>
                <c:pt idx="2">
                  <c:v>2876</c:v>
                </c:pt>
                <c:pt idx="3">
                  <c:v>2866</c:v>
                </c:pt>
                <c:pt idx="4">
                  <c:v>2928</c:v>
                </c:pt>
                <c:pt idx="5">
                  <c:v>2737</c:v>
                </c:pt>
                <c:pt idx="6">
                  <c:v>3319</c:v>
                </c:pt>
                <c:pt idx="7">
                  <c:v>3679</c:v>
                </c:pt>
                <c:pt idx="8">
                  <c:v>3889</c:v>
                </c:pt>
                <c:pt idx="9">
                  <c:v>3619</c:v>
                </c:pt>
                <c:pt idx="10">
                  <c:v>3220</c:v>
                </c:pt>
              </c:numCache>
            </c:numRef>
          </c:val>
          <c:smooth val="0"/>
          <c:extLst>
            <c:ext xmlns:c16="http://schemas.microsoft.com/office/drawing/2014/chart" uri="{C3380CC4-5D6E-409C-BE32-E72D297353CC}">
              <c16:uniqueId val="{00000004-F4AC-494E-B2C0-A35731F5E3FB}"/>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o250kW'!$K$62</c:f>
          <c:strCache>
            <c:ptCount val="1"/>
            <c:pt idx="0">
              <c:v>Average annual operating profit per vessel (£'000)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B042-43CA-9178-D0588828DF3F}"/>
              </c:ext>
            </c:extLst>
          </c:dPt>
          <c:dPt>
            <c:idx val="10"/>
            <c:bubble3D val="0"/>
            <c:spPr>
              <a:ln w="57150">
                <a:solidFill>
                  <a:schemeClr val="accent5"/>
                </a:solidFill>
                <a:prstDash val="sysDot"/>
              </a:ln>
            </c:spPr>
            <c:extLst>
              <c:ext xmlns:c16="http://schemas.microsoft.com/office/drawing/2014/chart" uri="{C3380CC4-5D6E-409C-BE32-E72D297353CC}">
                <c16:uniqueId val="{00000003-B042-43CA-9178-D0588828DF3F}"/>
              </c:ext>
            </c:extLst>
          </c:dPt>
          <c:cat>
            <c:numRef>
              <c:f>'South West beamers o250kW'!$D$2:$M$2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'South West beamers o250kW'!$D$37:$N$37</c:f>
              <c:numCache>
                <c:formatCode>#,##0.0</c:formatCode>
                <c:ptCount val="11"/>
                <c:pt idx="0">
                  <c:v>105.5</c:v>
                </c:pt>
                <c:pt idx="1">
                  <c:v>108.8</c:v>
                </c:pt>
                <c:pt idx="2">
                  <c:v>34.5</c:v>
                </c:pt>
                <c:pt idx="3">
                  <c:v>14.4</c:v>
                </c:pt>
                <c:pt idx="4">
                  <c:v>65.900000000000006</c:v>
                </c:pt>
                <c:pt idx="5">
                  <c:v>72.5</c:v>
                </c:pt>
                <c:pt idx="6">
                  <c:v>154.9</c:v>
                </c:pt>
                <c:pt idx="7">
                  <c:v>180.4</c:v>
                </c:pt>
                <c:pt idx="8">
                  <c:v>116.3</c:v>
                </c:pt>
                <c:pt idx="9">
                  <c:v>85.2</c:v>
                </c:pt>
                <c:pt idx="10">
                  <c:v>62.9</c:v>
                </c:pt>
              </c:numCache>
            </c:numRef>
          </c:val>
          <c:smooth val="0"/>
          <c:extLst>
            <c:ext xmlns:c16="http://schemas.microsoft.com/office/drawing/2014/chart" uri="{C3380CC4-5D6E-409C-BE32-E72D297353CC}">
              <c16:uniqueId val="{00000004-B042-43CA-9178-D0588828DF3F}"/>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o250kW'!$A$76</c:f>
          <c:strCache>
            <c:ptCount val="1"/>
            <c:pt idx="0">
              <c:v>Top 5 landed species by volume in 2019
South West beamers over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E87308"/>
              </a:solidFill>
              <a:ln>
                <a:solidFill>
                  <a:srgbClr val="FFFFFF"/>
                </a:solidFill>
              </a:ln>
            </c:spPr>
            <c:extLst>
              <c:ext xmlns:c16="http://schemas.microsoft.com/office/drawing/2014/chart" uri="{C3380CC4-5D6E-409C-BE32-E72D297353CC}">
                <c16:uniqueId val="{00000001-1ADC-40A7-B88A-AAC2E3D5F17A}"/>
              </c:ext>
            </c:extLst>
          </c:dPt>
          <c:dPt>
            <c:idx val="1"/>
            <c:bubble3D val="0"/>
            <c:spPr>
              <a:solidFill>
                <a:srgbClr val="648C2E"/>
              </a:solidFill>
              <a:ln>
                <a:solidFill>
                  <a:srgbClr val="FFFFFF"/>
                </a:solidFill>
              </a:ln>
            </c:spPr>
            <c:extLst>
              <c:ext xmlns:c16="http://schemas.microsoft.com/office/drawing/2014/chart" uri="{C3380CC4-5D6E-409C-BE32-E72D297353CC}">
                <c16:uniqueId val="{00000003-1ADC-40A7-B88A-AAC2E3D5F17A}"/>
              </c:ext>
            </c:extLst>
          </c:dPt>
          <c:dPt>
            <c:idx val="2"/>
            <c:bubble3D val="0"/>
            <c:spPr>
              <a:solidFill>
                <a:srgbClr val="E84A38"/>
              </a:solidFill>
              <a:ln>
                <a:solidFill>
                  <a:srgbClr val="FFFFFF"/>
                </a:solidFill>
              </a:ln>
            </c:spPr>
            <c:extLst>
              <c:ext xmlns:c16="http://schemas.microsoft.com/office/drawing/2014/chart" uri="{C3380CC4-5D6E-409C-BE32-E72D297353CC}">
                <c16:uniqueId val="{00000005-1ADC-40A7-B88A-AAC2E3D5F17A}"/>
              </c:ext>
            </c:extLst>
          </c:dPt>
          <c:dPt>
            <c:idx val="3"/>
            <c:bubble3D val="0"/>
            <c:spPr>
              <a:solidFill>
                <a:srgbClr val="2273B9"/>
              </a:solidFill>
              <a:ln>
                <a:solidFill>
                  <a:srgbClr val="FFFFFF"/>
                </a:solidFill>
              </a:ln>
            </c:spPr>
            <c:extLst>
              <c:ext xmlns:c16="http://schemas.microsoft.com/office/drawing/2014/chart" uri="{C3380CC4-5D6E-409C-BE32-E72D297353CC}">
                <c16:uniqueId val="{00000007-1ADC-40A7-B88A-AAC2E3D5F17A}"/>
              </c:ext>
            </c:extLst>
          </c:dPt>
          <c:dPt>
            <c:idx val="4"/>
            <c:bubble3D val="0"/>
            <c:spPr>
              <a:solidFill>
                <a:srgbClr val="0F9AA9"/>
              </a:solidFill>
              <a:ln>
                <a:solidFill>
                  <a:srgbClr val="FFFFFF"/>
                </a:solidFill>
              </a:ln>
            </c:spPr>
            <c:extLst>
              <c:ext xmlns:c16="http://schemas.microsoft.com/office/drawing/2014/chart" uri="{C3380CC4-5D6E-409C-BE32-E72D297353CC}">
                <c16:uniqueId val="{00000009-1ADC-40A7-B88A-AAC2E3D5F17A}"/>
              </c:ext>
            </c:extLst>
          </c:dPt>
          <c:dPt>
            <c:idx val="5"/>
            <c:bubble3D val="0"/>
            <c:spPr>
              <a:solidFill>
                <a:srgbClr val="55585A"/>
              </a:solidFill>
              <a:ln>
                <a:solidFill>
                  <a:srgbClr val="FFFFFF"/>
                </a:solidFill>
              </a:ln>
            </c:spPr>
            <c:extLst>
              <c:ext xmlns:c16="http://schemas.microsoft.com/office/drawing/2014/chart" uri="{C3380CC4-5D6E-409C-BE32-E72D297353CC}">
                <c16:uniqueId val="{0000000B-1ADC-40A7-B88A-AAC2E3D5F17A}"/>
              </c:ext>
            </c:extLst>
          </c:dPt>
          <c:cat>
            <c:strRef>
              <c:f>'South West beamers o250kW'!$B$77:$B$82</c:f>
              <c:strCache>
                <c:ptCount val="6"/>
                <c:pt idx="0">
                  <c:v>Cuttlefish - 29.0%</c:v>
                </c:pt>
                <c:pt idx="1">
                  <c:v>Anglerfish - 15.6%</c:v>
                </c:pt>
                <c:pt idx="2">
                  <c:v>Plaice - 7.9%</c:v>
                </c:pt>
                <c:pt idx="3">
                  <c:v>Sole - 7.2%</c:v>
                </c:pt>
                <c:pt idx="4">
                  <c:v>Scallops - 6.8%</c:v>
                </c:pt>
                <c:pt idx="5">
                  <c:v>Others - 33.5%</c:v>
                </c:pt>
              </c:strCache>
            </c:strRef>
          </c:cat>
          <c:val>
            <c:numRef>
              <c:f>'South West beamers o250kW'!$C$77:$C$82</c:f>
              <c:numCache>
                <c:formatCode>0.0%</c:formatCode>
                <c:ptCount val="6"/>
                <c:pt idx="0">
                  <c:v>0.28996497622499945</c:v>
                </c:pt>
                <c:pt idx="1">
                  <c:v>0.15599777520874408</c:v>
                </c:pt>
                <c:pt idx="2">
                  <c:v>7.8687952840131345E-2</c:v>
                </c:pt>
                <c:pt idx="3">
                  <c:v>7.1819589440423687E-2</c:v>
                </c:pt>
                <c:pt idx="4">
                  <c:v>6.8391005212823722E-2</c:v>
                </c:pt>
                <c:pt idx="5">
                  <c:v>0.3351387010728778</c:v>
                </c:pt>
              </c:numCache>
            </c:numRef>
          </c:val>
          <c:extLst>
            <c:ext xmlns:c16="http://schemas.microsoft.com/office/drawing/2014/chart" uri="{C3380CC4-5D6E-409C-BE32-E72D297353CC}">
              <c16:uniqueId val="{0000000C-1ADC-40A7-B88A-AAC2E3D5F17A}"/>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u250kW'!$A$49</c:f>
          <c:strCache>
            <c:ptCount val="1"/>
            <c:pt idx="0">
              <c:v>Fishing income per kW day at sea (£)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EA4D-4E01-B0BC-959511F8A9B4}"/>
              </c:ext>
            </c:extLst>
          </c:dPt>
          <c:dPt>
            <c:idx val="10"/>
            <c:bubble3D val="0"/>
            <c:spPr>
              <a:ln w="57150">
                <a:solidFill>
                  <a:srgbClr val="648C2E"/>
                </a:solidFill>
                <a:prstDash val="sysDot"/>
              </a:ln>
            </c:spPr>
            <c:extLst>
              <c:ext xmlns:c16="http://schemas.microsoft.com/office/drawing/2014/chart" uri="{C3380CC4-5D6E-409C-BE32-E72D297353CC}">
                <c16:uniqueId val="{00000003-EA4D-4E01-B0BC-959511F8A9B4}"/>
              </c:ext>
            </c:extLst>
          </c:dPt>
          <c:cat>
            <c:numRef>
              <c:f>'Area VIIa nephrops u250kW'!$D$2:$N$2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'Area VIIa nephrops u250kW'!$D$22:$N$22</c:f>
              <c:numCache>
                <c:formatCode>#,##0.00</c:formatCode>
                <c:ptCount val="11"/>
                <c:pt idx="0">
                  <c:v>5.4815699507501199</c:v>
                </c:pt>
                <c:pt idx="1">
                  <c:v>7.8800828120006701</c:v>
                </c:pt>
                <c:pt idx="2">
                  <c:v>8.2993325750286804</c:v>
                </c:pt>
                <c:pt idx="3">
                  <c:v>6.6246748580091896</c:v>
                </c:pt>
                <c:pt idx="4">
                  <c:v>6.4086259966521304</c:v>
                </c:pt>
                <c:pt idx="5">
                  <c:v>7.4220055343822304</c:v>
                </c:pt>
                <c:pt idx="6">
                  <c:v>7.8064385882349701</c:v>
                </c:pt>
                <c:pt idx="7">
                  <c:v>7.9764517106878801</c:v>
                </c:pt>
                <c:pt idx="8">
                  <c:v>7.3292901449156203</c:v>
                </c:pt>
                <c:pt idx="9">
                  <c:v>8.0431261266758707</c:v>
                </c:pt>
                <c:pt idx="10">
                  <c:v>6.7647210510960969</c:v>
                </c:pt>
              </c:numCache>
            </c:numRef>
          </c:val>
          <c:smooth val="0"/>
          <c:extLst>
            <c:ext xmlns:c16="http://schemas.microsoft.com/office/drawing/2014/chart" uri="{C3380CC4-5D6E-409C-BE32-E72D297353CC}">
              <c16:uniqueId val="{00000004-EA4D-4E01-B0BC-959511F8A9B4}"/>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o250kW'!$F$76</c:f>
          <c:strCache>
            <c:ptCount val="1"/>
            <c:pt idx="0">
              <c:v>Top 5 landed species by value in 2019
South West beamers over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4357-4F53-9A8F-7611E289B33F}"/>
              </c:ext>
            </c:extLst>
          </c:dPt>
          <c:dPt>
            <c:idx val="1"/>
            <c:bubble3D val="0"/>
            <c:spPr>
              <a:solidFill>
                <a:srgbClr val="E87308"/>
              </a:solidFill>
              <a:ln>
                <a:solidFill>
                  <a:srgbClr val="FFFFFF"/>
                </a:solidFill>
              </a:ln>
            </c:spPr>
            <c:extLst>
              <c:ext xmlns:c16="http://schemas.microsoft.com/office/drawing/2014/chart" uri="{C3380CC4-5D6E-409C-BE32-E72D297353CC}">
                <c16:uniqueId val="{00000003-4357-4F53-9A8F-7611E289B33F}"/>
              </c:ext>
            </c:extLst>
          </c:dPt>
          <c:dPt>
            <c:idx val="2"/>
            <c:bubble3D val="0"/>
            <c:spPr>
              <a:solidFill>
                <a:srgbClr val="648C2E"/>
              </a:solidFill>
              <a:ln>
                <a:solidFill>
                  <a:srgbClr val="FFFFFF"/>
                </a:solidFill>
              </a:ln>
            </c:spPr>
            <c:extLst>
              <c:ext xmlns:c16="http://schemas.microsoft.com/office/drawing/2014/chart" uri="{C3380CC4-5D6E-409C-BE32-E72D297353CC}">
                <c16:uniqueId val="{00000005-4357-4F53-9A8F-7611E289B33F}"/>
              </c:ext>
            </c:extLst>
          </c:dPt>
          <c:dPt>
            <c:idx val="3"/>
            <c:bubble3D val="0"/>
            <c:spPr>
              <a:solidFill>
                <a:srgbClr val="C1D119"/>
              </a:solidFill>
              <a:ln>
                <a:solidFill>
                  <a:srgbClr val="FFFFFF"/>
                </a:solidFill>
              </a:ln>
            </c:spPr>
            <c:extLst>
              <c:ext xmlns:c16="http://schemas.microsoft.com/office/drawing/2014/chart" uri="{C3380CC4-5D6E-409C-BE32-E72D297353CC}">
                <c16:uniqueId val="{00000007-4357-4F53-9A8F-7611E289B33F}"/>
              </c:ext>
            </c:extLst>
          </c:dPt>
          <c:dPt>
            <c:idx val="4"/>
            <c:bubble3D val="0"/>
            <c:spPr>
              <a:solidFill>
                <a:srgbClr val="E84A38"/>
              </a:solidFill>
              <a:ln>
                <a:solidFill>
                  <a:srgbClr val="FFFFFF"/>
                </a:solidFill>
              </a:ln>
            </c:spPr>
            <c:extLst>
              <c:ext xmlns:c16="http://schemas.microsoft.com/office/drawing/2014/chart" uri="{C3380CC4-5D6E-409C-BE32-E72D297353CC}">
                <c16:uniqueId val="{00000009-4357-4F53-9A8F-7611E289B33F}"/>
              </c:ext>
            </c:extLst>
          </c:dPt>
          <c:dPt>
            <c:idx val="5"/>
            <c:bubble3D val="0"/>
            <c:spPr>
              <a:solidFill>
                <a:srgbClr val="55585A"/>
              </a:solidFill>
              <a:ln>
                <a:solidFill>
                  <a:srgbClr val="FFFFFF"/>
                </a:solidFill>
              </a:ln>
            </c:spPr>
            <c:extLst>
              <c:ext xmlns:c16="http://schemas.microsoft.com/office/drawing/2014/chart" uri="{C3380CC4-5D6E-409C-BE32-E72D297353CC}">
                <c16:uniqueId val="{0000000B-4357-4F53-9A8F-7611E289B33F}"/>
              </c:ext>
            </c:extLst>
          </c:dPt>
          <c:cat>
            <c:strRef>
              <c:f>'South West beamers o250kW'!$G$77:$G$82</c:f>
              <c:strCache>
                <c:ptCount val="6"/>
                <c:pt idx="0">
                  <c:v>Sole - 27.9%</c:v>
                </c:pt>
                <c:pt idx="1">
                  <c:v>Cuttlefish - 22.0%</c:v>
                </c:pt>
                <c:pt idx="2">
                  <c:v>Anglerfish - 13.7%</c:v>
                </c:pt>
                <c:pt idx="3">
                  <c:v>Turbot - 6.1%</c:v>
                </c:pt>
                <c:pt idx="4">
                  <c:v>Plaice - 5.6%</c:v>
                </c:pt>
                <c:pt idx="5">
                  <c:v>Others - 24.6%</c:v>
                </c:pt>
              </c:strCache>
            </c:strRef>
          </c:cat>
          <c:val>
            <c:numRef>
              <c:f>'South West beamers o250kW'!$H$77:$H$82</c:f>
              <c:numCache>
                <c:formatCode>0.0%</c:formatCode>
                <c:ptCount val="6"/>
                <c:pt idx="0">
                  <c:v>0.27894181284448538</c:v>
                </c:pt>
                <c:pt idx="1">
                  <c:v>0.22027696179185749</c:v>
                </c:pt>
                <c:pt idx="2">
                  <c:v>0.13676693232280926</c:v>
                </c:pt>
                <c:pt idx="3">
                  <c:v>6.103972393665965E-2</c:v>
                </c:pt>
                <c:pt idx="4">
                  <c:v>5.6495103761874541E-2</c:v>
                </c:pt>
                <c:pt idx="5">
                  <c:v>0.24647946534231369</c:v>
                </c:pt>
              </c:numCache>
            </c:numRef>
          </c:val>
          <c:extLst>
            <c:ext xmlns:c16="http://schemas.microsoft.com/office/drawing/2014/chart" uri="{C3380CC4-5D6E-409C-BE32-E72D297353CC}">
              <c16:uniqueId val="{0000000C-4357-4F53-9A8F-7611E289B33F}"/>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o250kW'!$K$77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'South West beamers o250kW'!$C$92</c:f>
              <c:strCache>
                <c:ptCount val="1"/>
                <c:pt idx="0">
                  <c:v>Sole</c:v>
                </c:pt>
              </c:strCache>
            </c:strRef>
          </c:tx>
          <c:spPr>
            <a:solidFill>
              <a:srgbClr val="2273B9"/>
            </a:solidFill>
            <a:ln>
              <a:solidFill>
                <a:srgbClr val="FFFFFF"/>
              </a:solidFill>
            </a:ln>
          </c:spPr>
          <c:invertIfNegative val="0"/>
          <c:cat>
            <c:numRef>
              <c:f>'South West beamers o250kW'!$D$91:$M$91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'South West beamers o250kW'!$D$92:$M$92</c:f>
              <c:numCache>
                <c:formatCode>0%</c:formatCode>
                <c:ptCount val="10"/>
                <c:pt idx="0">
                  <c:v>0.15273205317823632</c:v>
                </c:pt>
                <c:pt idx="1">
                  <c:v>0.15845508092565253</c:v>
                </c:pt>
                <c:pt idx="2">
                  <c:v>0.17523785755694227</c:v>
                </c:pt>
                <c:pt idx="3">
                  <c:v>0.17149999564235588</c:v>
                </c:pt>
                <c:pt idx="4">
                  <c:v>0.1529604113862818</c:v>
                </c:pt>
                <c:pt idx="5">
                  <c:v>0.18959752305170621</c:v>
                </c:pt>
                <c:pt idx="6">
                  <c:v>0.16614743835157719</c:v>
                </c:pt>
                <c:pt idx="7">
                  <c:v>0.19937490722779741</c:v>
                </c:pt>
                <c:pt idx="8">
                  <c:v>0.27894181284448538</c:v>
                </c:pt>
                <c:pt idx="9">
                  <c:v>0.31770132058980466</c:v>
                </c:pt>
              </c:numCache>
            </c:numRef>
          </c:val>
          <c:extLst>
            <c:ext xmlns:c16="http://schemas.microsoft.com/office/drawing/2014/chart" uri="{C3380CC4-5D6E-409C-BE32-E72D297353CC}">
              <c16:uniqueId val="{00000000-CD78-4038-A85D-0AD40A64AF19}"/>
            </c:ext>
          </c:extLst>
        </c:ser>
        <c:ser>
          <c:idx val="1"/>
          <c:order val="1"/>
          <c:tx>
            <c:strRef>
              <c:f>'South West beamers o250kW'!$C$93</c:f>
              <c:strCache>
                <c:ptCount val="1"/>
                <c:pt idx="0">
                  <c:v>Cuttlefish</c:v>
                </c:pt>
              </c:strCache>
            </c:strRef>
          </c:tx>
          <c:spPr>
            <a:solidFill>
              <a:srgbClr val="E87308"/>
            </a:solidFill>
            <a:ln>
              <a:solidFill>
                <a:srgbClr val="FFFFFF"/>
              </a:solidFill>
            </a:ln>
          </c:spPr>
          <c:invertIfNegative val="0"/>
          <c:cat>
            <c:numRef>
              <c:f>'South West beamers o250kW'!$D$91:$M$91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'South West beamers o250kW'!$D$93:$M$93</c:f>
              <c:numCache>
                <c:formatCode>0%</c:formatCode>
                <c:ptCount val="10"/>
                <c:pt idx="0">
                  <c:v>0.21613654411805538</c:v>
                </c:pt>
                <c:pt idx="1">
                  <c:v>0.2277232417206777</c:v>
                </c:pt>
                <c:pt idx="2">
                  <c:v>0.14044372285931914</c:v>
                </c:pt>
                <c:pt idx="3">
                  <c:v>0.12026512423791083</c:v>
                </c:pt>
                <c:pt idx="4">
                  <c:v>0.19761453663319356</c:v>
                </c:pt>
                <c:pt idx="5">
                  <c:v>0.20718827503181445</c:v>
                </c:pt>
                <c:pt idx="6">
                  <c:v>0.34453259591279434</c:v>
                </c:pt>
                <c:pt idx="7">
                  <c:v>0.30844676890742695</c:v>
                </c:pt>
                <c:pt idx="8">
                  <c:v>0.22027696179185749</c:v>
                </c:pt>
                <c:pt idx="9">
                  <c:v>0.17928221588725851</c:v>
                </c:pt>
              </c:numCache>
            </c:numRef>
          </c:val>
          <c:extLst>
            <c:ext xmlns:c16="http://schemas.microsoft.com/office/drawing/2014/chart" uri="{C3380CC4-5D6E-409C-BE32-E72D297353CC}">
              <c16:uniqueId val="{00000001-CD78-4038-A85D-0AD40A64AF19}"/>
            </c:ext>
          </c:extLst>
        </c:ser>
        <c:ser>
          <c:idx val="2"/>
          <c:order val="2"/>
          <c:tx>
            <c:strRef>
              <c:f>'South West beamers o250kW'!$C$94</c:f>
              <c:strCache>
                <c:ptCount val="1"/>
                <c:pt idx="0">
                  <c:v>Anglerfish</c:v>
                </c:pt>
              </c:strCache>
            </c:strRef>
          </c:tx>
          <c:spPr>
            <a:solidFill>
              <a:srgbClr val="648C2E"/>
            </a:solidFill>
            <a:ln>
              <a:solidFill>
                <a:srgbClr val="FFFFFF"/>
              </a:solidFill>
            </a:ln>
          </c:spPr>
          <c:invertIfNegative val="0"/>
          <c:cat>
            <c:numRef>
              <c:f>'South West beamers o250kW'!$D$91:$M$91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'South West beamers o250kW'!$D$94:$M$94</c:f>
              <c:numCache>
                <c:formatCode>0%</c:formatCode>
                <c:ptCount val="10"/>
                <c:pt idx="0">
                  <c:v>0.2783457198535414</c:v>
                </c:pt>
                <c:pt idx="1">
                  <c:v>0.25375438361534997</c:v>
                </c:pt>
                <c:pt idx="2">
                  <c:v>0.28544618880128109</c:v>
                </c:pt>
                <c:pt idx="3">
                  <c:v>0.27769541338015363</c:v>
                </c:pt>
                <c:pt idx="4">
                  <c:v>0.2339463935669272</c:v>
                </c:pt>
                <c:pt idx="5">
                  <c:v>0.22867763511208491</c:v>
                </c:pt>
                <c:pt idx="6">
                  <c:v>0.14698067935723791</c:v>
                </c:pt>
                <c:pt idx="7">
                  <c:v>0.12296730930595905</c:v>
                </c:pt>
                <c:pt idx="8">
                  <c:v>0.13676693232280926</c:v>
                </c:pt>
                <c:pt idx="9">
                  <c:v>0.1590029788170749</c:v>
                </c:pt>
              </c:numCache>
            </c:numRef>
          </c:val>
          <c:extLst>
            <c:ext xmlns:c16="http://schemas.microsoft.com/office/drawing/2014/chart" uri="{C3380CC4-5D6E-409C-BE32-E72D297353CC}">
              <c16:uniqueId val="{00000002-CD78-4038-A85D-0AD40A64AF19}"/>
            </c:ext>
          </c:extLst>
        </c:ser>
        <c:ser>
          <c:idx val="3"/>
          <c:order val="3"/>
          <c:tx>
            <c:strRef>
              <c:f>'South West beamers o250kW'!$C$95</c:f>
              <c:strCache>
                <c:ptCount val="1"/>
                <c:pt idx="0">
                  <c:v>Turbot</c:v>
                </c:pt>
              </c:strCache>
            </c:strRef>
          </c:tx>
          <c:spPr>
            <a:solidFill>
              <a:srgbClr val="C1D119"/>
            </a:solidFill>
            <a:ln>
              <a:solidFill>
                <a:srgbClr val="FFFFFF"/>
              </a:solidFill>
            </a:ln>
          </c:spPr>
          <c:invertIfNegative val="0"/>
          <c:cat>
            <c:numRef>
              <c:f>'South West beamers o250kW'!$D$91:$M$91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'South West beamers o250kW'!$D$95:$M$95</c:f>
              <c:numCache>
                <c:formatCode>0%</c:formatCode>
                <c:ptCount val="10"/>
                <c:pt idx="5">
                  <c:v>4.652832410234798E-2</c:v>
                </c:pt>
                <c:pt idx="7">
                  <c:v>5.3408680769836292E-2</c:v>
                </c:pt>
                <c:pt idx="8">
                  <c:v>6.103972393665965E-2</c:v>
                </c:pt>
                <c:pt idx="9">
                  <c:v>6.5874705458996027E-2</c:v>
                </c:pt>
              </c:numCache>
            </c:numRef>
          </c:val>
          <c:extLst>
            <c:ext xmlns:c16="http://schemas.microsoft.com/office/drawing/2014/chart" uri="{C3380CC4-5D6E-409C-BE32-E72D297353CC}">
              <c16:uniqueId val="{00000003-CD78-4038-A85D-0AD40A64AF19}"/>
            </c:ext>
          </c:extLst>
        </c:ser>
        <c:ser>
          <c:idx val="4"/>
          <c:order val="4"/>
          <c:tx>
            <c:strRef>
              <c:f>'South West beamers o250kW'!$C$96</c:f>
              <c:strCache>
                <c:ptCount val="1"/>
                <c:pt idx="0">
                  <c:v>Plaice</c:v>
                </c:pt>
              </c:strCache>
            </c:strRef>
          </c:tx>
          <c:spPr>
            <a:solidFill>
              <a:srgbClr val="E84A38"/>
            </a:solidFill>
            <a:ln>
              <a:solidFill>
                <a:srgbClr val="FFFFFF"/>
              </a:solidFill>
            </a:ln>
          </c:spPr>
          <c:invertIfNegative val="0"/>
          <c:cat>
            <c:numRef>
              <c:f>'South West beamers o250kW'!$D$91:$M$91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'South West beamers o250kW'!$D$96:$M$96</c:f>
              <c:numCache>
                <c:formatCode>0%</c:formatCode>
                <c:ptCount val="10"/>
                <c:pt idx="8">
                  <c:v>5.6495103761874541E-2</c:v>
                </c:pt>
                <c:pt idx="9">
                  <c:v>5.4521690730513439E-2</c:v>
                </c:pt>
              </c:numCache>
            </c:numRef>
          </c:val>
          <c:extLst>
            <c:ext xmlns:c16="http://schemas.microsoft.com/office/drawing/2014/chart" uri="{C3380CC4-5D6E-409C-BE32-E72D297353CC}">
              <c16:uniqueId val="{00000004-CD78-4038-A85D-0AD40A64AF19}"/>
            </c:ext>
          </c:extLst>
        </c:ser>
        <c:ser>
          <c:idx val="5"/>
          <c:order val="5"/>
          <c:tx>
            <c:strRef>
              <c:f>'South West beamers o250kW'!$C$97</c:f>
              <c:strCache>
                <c:ptCount val="1"/>
                <c:pt idx="0">
                  <c:v>Scallops</c:v>
                </c:pt>
              </c:strCache>
            </c:strRef>
          </c:tx>
          <c:spPr>
            <a:solidFill>
              <a:srgbClr val="0F9AA9"/>
            </a:solidFill>
            <a:ln>
              <a:solidFill>
                <a:srgbClr val="FFFFFF"/>
              </a:solidFill>
            </a:ln>
          </c:spPr>
          <c:invertIfNegative val="0"/>
          <c:cat>
            <c:numRef>
              <c:f>'South West beamers o250kW'!$D$91:$M$91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'South West beamers o250kW'!$D$97:$M$97</c:f>
              <c:numCache>
                <c:formatCode>0%</c:formatCode>
                <c:ptCount val="10"/>
                <c:pt idx="1">
                  <c:v>4.5709799173624832E-2</c:v>
                </c:pt>
                <c:pt idx="4">
                  <c:v>6.4679750568691893E-2</c:v>
                </c:pt>
                <c:pt idx="6">
                  <c:v>6.003008109332942E-2</c:v>
                </c:pt>
                <c:pt idx="7">
                  <c:v>6.6029854225385556E-2</c:v>
                </c:pt>
              </c:numCache>
            </c:numRef>
          </c:val>
          <c:extLst>
            <c:ext xmlns:c16="http://schemas.microsoft.com/office/drawing/2014/chart" uri="{C3380CC4-5D6E-409C-BE32-E72D297353CC}">
              <c16:uniqueId val="{00000005-CD78-4038-A85D-0AD40A64AF19}"/>
            </c:ext>
          </c:extLst>
        </c:ser>
        <c:ser>
          <c:idx val="6"/>
          <c:order val="6"/>
          <c:tx>
            <c:strRef>
              <c:f>'South West beamers o250kW'!$C$98</c:f>
              <c:strCache>
                <c:ptCount val="1"/>
                <c:pt idx="0">
                  <c:v>Megrim</c:v>
                </c:pt>
              </c:strCache>
            </c:strRef>
          </c:tx>
          <c:spPr>
            <a:solidFill>
              <a:srgbClr val="FED825"/>
            </a:solidFill>
            <a:ln>
              <a:solidFill>
                <a:srgbClr val="FFFFFF"/>
              </a:solidFill>
            </a:ln>
          </c:spPr>
          <c:invertIfNegative val="0"/>
          <c:cat>
            <c:numRef>
              <c:f>'South West beamers o250kW'!$D$91:$M$91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'South West beamers o250kW'!$D$98:$M$98</c:f>
              <c:numCache>
                <c:formatCode>0%</c:formatCode>
                <c:ptCount val="10"/>
                <c:pt idx="0">
                  <c:v>9.3720613878394213E-2</c:v>
                </c:pt>
                <c:pt idx="1">
                  <c:v>8.0665614706986744E-2</c:v>
                </c:pt>
                <c:pt idx="2">
                  <c:v>0.11600299775354173</c:v>
                </c:pt>
                <c:pt idx="3">
                  <c:v>0.12993787550520974</c:v>
                </c:pt>
                <c:pt idx="4">
                  <c:v>0.11720822020461284</c:v>
                </c:pt>
                <c:pt idx="5">
                  <c:v>9.0714107937631044E-2</c:v>
                </c:pt>
                <c:pt idx="6">
                  <c:v>5.8044314720721538E-2</c:v>
                </c:pt>
              </c:numCache>
            </c:numRef>
          </c:val>
          <c:extLst>
            <c:ext xmlns:c16="http://schemas.microsoft.com/office/drawing/2014/chart" uri="{C3380CC4-5D6E-409C-BE32-E72D297353CC}">
              <c16:uniqueId val="{00000006-CD78-4038-A85D-0AD40A64AF19}"/>
            </c:ext>
          </c:extLst>
        </c:ser>
        <c:ser>
          <c:idx val="7"/>
          <c:order val="7"/>
          <c:tx>
            <c:strRef>
              <c:f>'South West beamers o250kW'!$C$99</c:f>
              <c:strCache>
                <c:ptCount val="1"/>
                <c:pt idx="0">
                  <c:v>Lemon Sole</c:v>
                </c:pt>
              </c:strCache>
            </c:strRef>
          </c:tx>
          <c:spPr>
            <a:solidFill>
              <a:srgbClr val="707271"/>
            </a:solidFill>
            <a:ln>
              <a:solidFill>
                <a:srgbClr val="FFFFFF"/>
              </a:solidFill>
            </a:ln>
          </c:spPr>
          <c:invertIfNegative val="0"/>
          <c:cat>
            <c:numRef>
              <c:f>'South West beamers o250kW'!$D$91:$M$91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'South West beamers o250kW'!$D$99:$M$99</c:f>
              <c:numCache>
                <c:formatCode>0%</c:formatCode>
                <c:ptCount val="10"/>
                <c:pt idx="0">
                  <c:v>4.035270547840606E-2</c:v>
                </c:pt>
                <c:pt idx="2">
                  <c:v>4.4009534356624976E-2</c:v>
                </c:pt>
                <c:pt idx="3">
                  <c:v>5.1733637009427139E-2</c:v>
                </c:pt>
              </c:numCache>
            </c:numRef>
          </c:val>
          <c:extLst>
            <c:ext xmlns:c16="http://schemas.microsoft.com/office/drawing/2014/chart" uri="{C3380CC4-5D6E-409C-BE32-E72D297353CC}">
              <c16:uniqueId val="{00000007-CD78-4038-A85D-0AD40A64AF19}"/>
            </c:ext>
          </c:extLst>
        </c:ser>
        <c:ser>
          <c:idx val="8"/>
          <c:order val="8"/>
          <c:tx>
            <c:strRef>
              <c:f>'South West beamers o250kW'!$C$100</c:f>
              <c:strCache>
                <c:ptCount val="1"/>
                <c:pt idx="0">
                  <c:v>Others</c:v>
                </c:pt>
              </c:strCache>
            </c:strRef>
          </c:tx>
          <c:spPr>
            <a:solidFill>
              <a:srgbClr val="55585A"/>
            </a:solidFill>
            <a:ln>
              <a:solidFill>
                <a:srgbClr val="FFFFFF"/>
              </a:solidFill>
            </a:ln>
          </c:spPr>
          <c:invertIfNegative val="0"/>
          <c:cat>
            <c:numRef>
              <c:f>'South West beamers o250kW'!$D$91:$M$91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'South West beamers o250kW'!$D$100:$M$100</c:f>
              <c:numCache>
                <c:formatCode>0%</c:formatCode>
                <c:ptCount val="10"/>
                <c:pt idx="0">
                  <c:v>0.21871236349336659</c:v>
                </c:pt>
                <c:pt idx="1">
                  <c:v>0.23369187985770823</c:v>
                </c:pt>
                <c:pt idx="2">
                  <c:v>0.23885969867229079</c:v>
                </c:pt>
                <c:pt idx="3">
                  <c:v>0.24886795422494276</c:v>
                </c:pt>
                <c:pt idx="4">
                  <c:v>0.23359068764029273</c:v>
                </c:pt>
                <c:pt idx="5">
                  <c:v>0.23729413476441538</c:v>
                </c:pt>
                <c:pt idx="6">
                  <c:v>0.2242648905643396</c:v>
                </c:pt>
                <c:pt idx="7">
                  <c:v>0.24977247956359475</c:v>
                </c:pt>
                <c:pt idx="8">
                  <c:v>0.24647946534231366</c:v>
                </c:pt>
                <c:pt idx="9">
                  <c:v>0.22361708851635245</c:v>
                </c:pt>
              </c:numCache>
            </c:numRef>
          </c:val>
          <c:extLst>
            <c:ext xmlns:c16="http://schemas.microsoft.com/office/drawing/2014/chart" uri="{C3380CC4-5D6E-409C-BE32-E72D297353CC}">
              <c16:uniqueId val="{00000008-CD78-4038-A85D-0AD40A64AF19}"/>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'South West beamers o250kW'!$B$162</c:f>
              <c:strCache>
                <c:ptCount val="1"/>
                <c:pt idx="0">
                  <c:v>Cuttlefish</c:v>
                </c:pt>
              </c:strCache>
            </c:strRef>
          </c:tx>
          <c:spPr>
            <a:solidFill>
              <a:srgbClr val="E87308"/>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o250kW'!$C$162:$E$162</c:f>
              <c:numCache>
                <c:formatCode>0%</c:formatCode>
                <c:ptCount val="3"/>
                <c:pt idx="0">
                  <c:v>0.26921245670995803</c:v>
                </c:pt>
                <c:pt idx="1">
                  <c:v>0.35777633812830495</c:v>
                </c:pt>
                <c:pt idx="2">
                  <c:v>0.23813419427221799</c:v>
                </c:pt>
              </c:numCache>
            </c:numRef>
          </c:val>
          <c:extLst>
            <c:ext xmlns:c16="http://schemas.microsoft.com/office/drawing/2014/chart" uri="{C3380CC4-5D6E-409C-BE32-E72D297353CC}">
              <c16:uniqueId val="{00000000-8DB4-49A1-AD1B-A1CA8B39CCDE}"/>
            </c:ext>
          </c:extLst>
        </c:ser>
        <c:ser>
          <c:idx val="1"/>
          <c:order val="1"/>
          <c:tx>
            <c:strRef>
              <c:f>'South West beamers o250kW'!$B$163</c:f>
              <c:strCache>
                <c:ptCount val="1"/>
                <c:pt idx="0">
                  <c:v>Anglerfish</c:v>
                </c:pt>
              </c:strCache>
            </c:strRef>
          </c:tx>
          <c:spPr>
            <a:solidFill>
              <a:srgbClr val="648C2E"/>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o250kW'!$C$163:$E$163</c:f>
              <c:numCache>
                <c:formatCode>0%</c:formatCode>
                <c:ptCount val="3"/>
                <c:pt idx="0">
                  <c:v>0.11679894288534735</c:v>
                </c:pt>
                <c:pt idx="1">
                  <c:v>0.16673847423561119</c:v>
                </c:pt>
                <c:pt idx="2">
                  <c:v>0.24701140990785597</c:v>
                </c:pt>
              </c:numCache>
            </c:numRef>
          </c:val>
          <c:extLst>
            <c:ext xmlns:c16="http://schemas.microsoft.com/office/drawing/2014/chart" uri="{C3380CC4-5D6E-409C-BE32-E72D297353CC}">
              <c16:uniqueId val="{00000001-8DB4-49A1-AD1B-A1CA8B39CCDE}"/>
            </c:ext>
          </c:extLst>
        </c:ser>
        <c:ser>
          <c:idx val="2"/>
          <c:order val="2"/>
          <c:tx>
            <c:strRef>
              <c:f>'South West beamers o250kW'!$B$164</c:f>
              <c:strCache>
                <c:ptCount val="1"/>
                <c:pt idx="0">
                  <c:v>Plaice</c:v>
                </c:pt>
              </c:strCache>
            </c:strRef>
          </c:tx>
          <c:spPr>
            <a:solidFill>
              <a:srgbClr val="E84A38"/>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o250kW'!$C$164:$E$164</c:f>
              <c:numCache>
                <c:formatCode>0%</c:formatCode>
                <c:ptCount val="3"/>
                <c:pt idx="0">
                  <c:v>9.5914475677920275E-2</c:v>
                </c:pt>
                <c:pt idx="1">
                  <c:v>9.1620877454886687E-2</c:v>
                </c:pt>
                <c:pt idx="2">
                  <c:v>0</c:v>
                </c:pt>
              </c:numCache>
            </c:numRef>
          </c:val>
          <c:extLst>
            <c:ext xmlns:c16="http://schemas.microsoft.com/office/drawing/2014/chart" uri="{C3380CC4-5D6E-409C-BE32-E72D297353CC}">
              <c16:uniqueId val="{00000002-8DB4-49A1-AD1B-A1CA8B39CCDE}"/>
            </c:ext>
          </c:extLst>
        </c:ser>
        <c:ser>
          <c:idx val="3"/>
          <c:order val="3"/>
          <c:tx>
            <c:strRef>
              <c:f>'South West beamers o250kW'!$B$165</c:f>
              <c:strCache>
                <c:ptCount val="1"/>
                <c:pt idx="0">
                  <c:v>Sole</c:v>
                </c:pt>
              </c:strCache>
            </c:strRef>
          </c:tx>
          <c:spPr>
            <a:solidFill>
              <a:srgbClr val="2273B9"/>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o250kW'!$C$165:$E$165</c:f>
              <c:numCache>
                <c:formatCode>0%</c:formatCode>
                <c:ptCount val="3"/>
                <c:pt idx="0">
                  <c:v>0</c:v>
                </c:pt>
                <c:pt idx="1">
                  <c:v>7.6042256537669939E-2</c:v>
                </c:pt>
                <c:pt idx="2">
                  <c:v>5.231186599743641E-2</c:v>
                </c:pt>
              </c:numCache>
            </c:numRef>
          </c:val>
          <c:extLst>
            <c:ext xmlns:c16="http://schemas.microsoft.com/office/drawing/2014/chart" uri="{C3380CC4-5D6E-409C-BE32-E72D297353CC}">
              <c16:uniqueId val="{00000003-8DB4-49A1-AD1B-A1CA8B39CCDE}"/>
            </c:ext>
          </c:extLst>
        </c:ser>
        <c:ser>
          <c:idx val="4"/>
          <c:order val="4"/>
          <c:tx>
            <c:strRef>
              <c:f>'South West beamers o250kW'!$B$166</c:f>
              <c:strCache>
                <c:ptCount val="1"/>
                <c:pt idx="0">
                  <c:v>Gurnard</c:v>
                </c:pt>
              </c:strCache>
            </c:strRef>
          </c:tx>
          <c:spPr>
            <a:solidFill>
              <a:srgbClr val="FED825"/>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o250kW'!$C$166:$E$166</c:f>
              <c:numCache>
                <c:formatCode>0%</c:formatCode>
                <c:ptCount val="3"/>
                <c:pt idx="0">
                  <c:v>0.10255741286522133</c:v>
                </c:pt>
                <c:pt idx="1">
                  <c:v>6.6685064745794317E-2</c:v>
                </c:pt>
                <c:pt idx="2">
                  <c:v>0</c:v>
                </c:pt>
              </c:numCache>
            </c:numRef>
          </c:val>
          <c:extLst>
            <c:ext xmlns:c16="http://schemas.microsoft.com/office/drawing/2014/chart" uri="{C3380CC4-5D6E-409C-BE32-E72D297353CC}">
              <c16:uniqueId val="{00000004-8DB4-49A1-AD1B-A1CA8B39CCDE}"/>
            </c:ext>
          </c:extLst>
        </c:ser>
        <c:ser>
          <c:idx val="5"/>
          <c:order val="5"/>
          <c:tx>
            <c:strRef>
              <c:f>'South West beamers o250kW'!$B$167</c:f>
              <c:strCache>
                <c:ptCount val="1"/>
                <c:pt idx="0">
                  <c:v>Megrim</c:v>
                </c:pt>
              </c:strCache>
            </c:strRef>
          </c:tx>
          <c:spPr>
            <a:solidFill>
              <a:srgbClr val="707271"/>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o250kW'!$C$167:$E$167</c:f>
              <c:numCache>
                <c:formatCode>0%</c:formatCode>
                <c:ptCount val="3"/>
                <c:pt idx="0">
                  <c:v>0</c:v>
                </c:pt>
                <c:pt idx="1">
                  <c:v>0</c:v>
                </c:pt>
                <c:pt idx="2">
                  <c:v>0.14206101132103371</c:v>
                </c:pt>
              </c:numCache>
            </c:numRef>
          </c:val>
          <c:extLst>
            <c:ext xmlns:c16="http://schemas.microsoft.com/office/drawing/2014/chart" uri="{C3380CC4-5D6E-409C-BE32-E72D297353CC}">
              <c16:uniqueId val="{00000005-8DB4-49A1-AD1B-A1CA8B39CCDE}"/>
            </c:ext>
          </c:extLst>
        </c:ser>
        <c:ser>
          <c:idx val="6"/>
          <c:order val="6"/>
          <c:tx>
            <c:strRef>
              <c:f>'South West beamers o250kW'!$B$168</c:f>
              <c:strCache>
                <c:ptCount val="1"/>
                <c:pt idx="0">
                  <c:v>Scallops</c:v>
                </c:pt>
              </c:strCache>
            </c:strRef>
          </c:tx>
          <c:spPr>
            <a:solidFill>
              <a:srgbClr val="0F9AA9"/>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o250kW'!$C$168:$E$168</c:f>
              <c:numCache>
                <c:formatCode>0%</c:formatCode>
                <c:ptCount val="3"/>
                <c:pt idx="0">
                  <c:v>0.10483854579278103</c:v>
                </c:pt>
                <c:pt idx="1">
                  <c:v>0</c:v>
                </c:pt>
                <c:pt idx="2">
                  <c:v>6.18970886439082E-2</c:v>
                </c:pt>
              </c:numCache>
            </c:numRef>
          </c:val>
          <c:extLst>
            <c:ext xmlns:c16="http://schemas.microsoft.com/office/drawing/2014/chart" uri="{C3380CC4-5D6E-409C-BE32-E72D297353CC}">
              <c16:uniqueId val="{00000006-8DB4-49A1-AD1B-A1CA8B39CCDE}"/>
            </c:ext>
          </c:extLst>
        </c:ser>
        <c:ser>
          <c:idx val="7"/>
          <c:order val="7"/>
          <c:tx>
            <c:strRef>
              <c:f>'South West beamers o250kW'!$B$169</c:f>
              <c:strCache>
                <c:ptCount val="1"/>
                <c:pt idx="0">
                  <c:v>Others</c:v>
                </c:pt>
              </c:strCache>
            </c:strRef>
          </c:tx>
          <c:spPr>
            <a:solidFill>
              <a:srgbClr val="55585A"/>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o250kW'!$C$169:$E$169</c:f>
              <c:numCache>
                <c:formatCode>0%</c:formatCode>
                <c:ptCount val="3"/>
                <c:pt idx="0">
                  <c:v>0.31067816606877208</c:v>
                </c:pt>
                <c:pt idx="1">
                  <c:v>0.24113698889773294</c:v>
                </c:pt>
                <c:pt idx="2">
                  <c:v>0.2585844298575477</c:v>
                </c:pt>
              </c:numCache>
            </c:numRef>
          </c:val>
          <c:extLst>
            <c:ext xmlns:c16="http://schemas.microsoft.com/office/drawing/2014/chart" uri="{C3380CC4-5D6E-409C-BE32-E72D297353CC}">
              <c16:uniqueId val="{00000007-8DB4-49A1-AD1B-A1CA8B39CCDE}"/>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'South West beamers o250kW'!$H$162</c:f>
              <c:strCache>
                <c:ptCount val="1"/>
                <c:pt idx="0">
                  <c:v>Sole</c:v>
                </c:pt>
              </c:strCache>
            </c:strRef>
          </c:tx>
          <c:spPr>
            <a:solidFill>
              <a:srgbClr val="2273B9"/>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o250kW'!$I$162:$K$162</c:f>
              <c:numCache>
                <c:formatCode>0%</c:formatCode>
                <c:ptCount val="3"/>
                <c:pt idx="0">
                  <c:v>0.34277728827848736</c:v>
                </c:pt>
                <c:pt idx="1">
                  <c:v>0.28620123818052262</c:v>
                </c:pt>
                <c:pt idx="2">
                  <c:v>0.21165913248395776</c:v>
                </c:pt>
              </c:numCache>
            </c:numRef>
          </c:val>
          <c:extLst>
            <c:ext xmlns:c16="http://schemas.microsoft.com/office/drawing/2014/chart" uri="{C3380CC4-5D6E-409C-BE32-E72D297353CC}">
              <c16:uniqueId val="{00000000-47B6-461A-A54D-26DE0DD6EE25}"/>
            </c:ext>
          </c:extLst>
        </c:ser>
        <c:ser>
          <c:idx val="1"/>
          <c:order val="1"/>
          <c:tx>
            <c:strRef>
              <c:f>'South West beamers o250kW'!$H$163</c:f>
              <c:strCache>
                <c:ptCount val="1"/>
                <c:pt idx="0">
                  <c:v>Cuttlefish</c:v>
                </c:pt>
              </c:strCache>
            </c:strRef>
          </c:tx>
          <c:spPr>
            <a:solidFill>
              <a:srgbClr val="E87308"/>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o250kW'!$I$163:$K$163</c:f>
              <c:numCache>
                <c:formatCode>0%</c:formatCode>
                <c:ptCount val="3"/>
                <c:pt idx="0">
                  <c:v>0.203648951640236</c:v>
                </c:pt>
                <c:pt idx="1">
                  <c:v>0.26076846186989278</c:v>
                </c:pt>
                <c:pt idx="2">
                  <c:v>0.1815328495559029</c:v>
                </c:pt>
              </c:numCache>
            </c:numRef>
          </c:val>
          <c:extLst>
            <c:ext xmlns:c16="http://schemas.microsoft.com/office/drawing/2014/chart" uri="{C3380CC4-5D6E-409C-BE32-E72D297353CC}">
              <c16:uniqueId val="{00000001-47B6-461A-A54D-26DE0DD6EE25}"/>
            </c:ext>
          </c:extLst>
        </c:ser>
        <c:ser>
          <c:idx val="2"/>
          <c:order val="2"/>
          <c:tx>
            <c:strRef>
              <c:f>'South West beamers o250kW'!$H$164</c:f>
              <c:strCache>
                <c:ptCount val="1"/>
                <c:pt idx="0">
                  <c:v>Anglerfish</c:v>
                </c:pt>
              </c:strCache>
            </c:strRef>
          </c:tx>
          <c:spPr>
            <a:solidFill>
              <a:srgbClr val="648C2E"/>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o250kW'!$I$164:$K$164</c:f>
              <c:numCache>
                <c:formatCode>0%</c:formatCode>
                <c:ptCount val="3"/>
                <c:pt idx="0">
                  <c:v>9.4391650023538817E-2</c:v>
                </c:pt>
                <c:pt idx="1">
                  <c:v>0.14203378602452554</c:v>
                </c:pt>
                <c:pt idx="2">
                  <c:v>0.23223754333735175</c:v>
                </c:pt>
              </c:numCache>
            </c:numRef>
          </c:val>
          <c:extLst>
            <c:ext xmlns:c16="http://schemas.microsoft.com/office/drawing/2014/chart" uri="{C3380CC4-5D6E-409C-BE32-E72D297353CC}">
              <c16:uniqueId val="{00000002-47B6-461A-A54D-26DE0DD6EE25}"/>
            </c:ext>
          </c:extLst>
        </c:ser>
        <c:ser>
          <c:idx val="3"/>
          <c:order val="3"/>
          <c:tx>
            <c:strRef>
              <c:f>'South West beamers o250kW'!$H$165</c:f>
              <c:strCache>
                <c:ptCount val="1"/>
                <c:pt idx="0">
                  <c:v>Turbot</c:v>
                </c:pt>
              </c:strCache>
            </c:strRef>
          </c:tx>
          <c:spPr>
            <a:solidFill>
              <a:srgbClr val="C1D119"/>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o250kW'!$I$165:$K$165</c:f>
              <c:numCache>
                <c:formatCode>0%</c:formatCode>
                <c:ptCount val="3"/>
                <c:pt idx="0">
                  <c:v>6.592483189779802E-2</c:v>
                </c:pt>
                <c:pt idx="1">
                  <c:v>7.1150857881723775E-2</c:v>
                </c:pt>
                <c:pt idx="2">
                  <c:v>0</c:v>
                </c:pt>
              </c:numCache>
            </c:numRef>
          </c:val>
          <c:extLst>
            <c:ext xmlns:c16="http://schemas.microsoft.com/office/drawing/2014/chart" uri="{C3380CC4-5D6E-409C-BE32-E72D297353CC}">
              <c16:uniqueId val="{00000003-47B6-461A-A54D-26DE0DD6EE25}"/>
            </c:ext>
          </c:extLst>
        </c:ser>
        <c:ser>
          <c:idx val="4"/>
          <c:order val="4"/>
          <c:tx>
            <c:strRef>
              <c:f>'South West beamers o250kW'!$H$166</c:f>
              <c:strCache>
                <c:ptCount val="1"/>
                <c:pt idx="0">
                  <c:v>Plaice</c:v>
                </c:pt>
              </c:strCache>
            </c:strRef>
          </c:tx>
          <c:spPr>
            <a:solidFill>
              <a:srgbClr val="E84A38"/>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o250kW'!$I$166:$K$166</c:f>
              <c:numCache>
                <c:formatCode>0%</c:formatCode>
                <c:ptCount val="3"/>
                <c:pt idx="0">
                  <c:v>6.4398407347723244E-2</c:v>
                </c:pt>
                <c:pt idx="1">
                  <c:v>6.3955183561163878E-2</c:v>
                </c:pt>
                <c:pt idx="2">
                  <c:v>0</c:v>
                </c:pt>
              </c:numCache>
            </c:numRef>
          </c:val>
          <c:extLst>
            <c:ext xmlns:c16="http://schemas.microsoft.com/office/drawing/2014/chart" uri="{C3380CC4-5D6E-409C-BE32-E72D297353CC}">
              <c16:uniqueId val="{00000004-47B6-461A-A54D-26DE0DD6EE25}"/>
            </c:ext>
          </c:extLst>
        </c:ser>
        <c:ser>
          <c:idx val="5"/>
          <c:order val="5"/>
          <c:tx>
            <c:strRef>
              <c:f>'South West beamers o250kW'!$H$167</c:f>
              <c:strCache>
                <c:ptCount val="1"/>
                <c:pt idx="0">
                  <c:v>Megrim</c:v>
                </c:pt>
              </c:strCache>
            </c:strRef>
          </c:tx>
          <c:spPr>
            <a:solidFill>
              <a:srgbClr val="707271"/>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o250kW'!$I$167:$K$167</c:f>
              <c:numCache>
                <c:formatCode>0%</c:formatCode>
                <c:ptCount val="3"/>
                <c:pt idx="0">
                  <c:v>0</c:v>
                </c:pt>
                <c:pt idx="1">
                  <c:v>0</c:v>
                </c:pt>
                <c:pt idx="2">
                  <c:v>0.1069881124741872</c:v>
                </c:pt>
              </c:numCache>
            </c:numRef>
          </c:val>
          <c:extLst>
            <c:ext xmlns:c16="http://schemas.microsoft.com/office/drawing/2014/chart" uri="{C3380CC4-5D6E-409C-BE32-E72D297353CC}">
              <c16:uniqueId val="{00000005-47B6-461A-A54D-26DE0DD6EE25}"/>
            </c:ext>
          </c:extLst>
        </c:ser>
        <c:ser>
          <c:idx val="6"/>
          <c:order val="6"/>
          <c:tx>
            <c:strRef>
              <c:f>'South West beamers o250kW'!$H$168</c:f>
              <c:strCache>
                <c:ptCount val="1"/>
                <c:pt idx="0">
                  <c:v>Lemon Sole</c:v>
                </c:pt>
              </c:strCache>
            </c:strRef>
          </c:tx>
          <c:spPr>
            <a:solidFill>
              <a:srgbClr val="51AA81"/>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o250kW'!$I$168:$K$168</c:f>
              <c:numCache>
                <c:formatCode>0%</c:formatCode>
                <c:ptCount val="3"/>
                <c:pt idx="0">
                  <c:v>0</c:v>
                </c:pt>
                <c:pt idx="1">
                  <c:v>0</c:v>
                </c:pt>
                <c:pt idx="2">
                  <c:v>5.1911555120977768E-2</c:v>
                </c:pt>
              </c:numCache>
            </c:numRef>
          </c:val>
          <c:extLst>
            <c:ext xmlns:c16="http://schemas.microsoft.com/office/drawing/2014/chart" uri="{C3380CC4-5D6E-409C-BE32-E72D297353CC}">
              <c16:uniqueId val="{00000006-47B6-461A-A54D-26DE0DD6EE25}"/>
            </c:ext>
          </c:extLst>
        </c:ser>
        <c:ser>
          <c:idx val="7"/>
          <c:order val="7"/>
          <c:tx>
            <c:strRef>
              <c:f>'South West beamers o250kW'!$H$169</c:f>
              <c:strCache>
                <c:ptCount val="1"/>
                <c:pt idx="0">
                  <c:v>Others</c:v>
                </c:pt>
              </c:strCache>
            </c:strRef>
          </c:tx>
          <c:spPr>
            <a:solidFill>
              <a:srgbClr val="55585A"/>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o250kW'!$I$169:$K$169</c:f>
              <c:numCache>
                <c:formatCode>0%</c:formatCode>
                <c:ptCount val="3"/>
                <c:pt idx="0">
                  <c:v>0.22885887081221656</c:v>
                </c:pt>
                <c:pt idx="1">
                  <c:v>0.17589047248217127</c:v>
                </c:pt>
                <c:pt idx="2">
                  <c:v>0.21567080702762265</c:v>
                </c:pt>
              </c:numCache>
            </c:numRef>
          </c:val>
          <c:extLst>
            <c:ext xmlns:c16="http://schemas.microsoft.com/office/drawing/2014/chart" uri="{C3380CC4-5D6E-409C-BE32-E72D297353CC}">
              <c16:uniqueId val="{00000007-47B6-461A-A54D-26DE0DD6EE25}"/>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'South West beamers o250kW'!$K$139</c:f>
              <c:strCache>
                <c:ptCount val="1"/>
                <c:pt idx="0">
                  <c:v>Total income</c:v>
                </c:pt>
              </c:strCache>
            </c:strRef>
          </c:tx>
          <c:spPr>
            <a:solidFill>
              <a:srgbClr val="087CBB"/>
            </a:solidFill>
            <a:ln>
              <a:solidFill>
                <a:schemeClr val="accent1"/>
              </a:solidFill>
            </a:ln>
          </c:spPr>
          <c:invertIfNegative val="0"/>
          <c:cat>
            <c:strRef>
              <c:f>'South West beamers o250kW'!$L$138:$N$138</c:f>
              <c:strCache>
                <c:ptCount val="3"/>
                <c:pt idx="0">
                  <c:v>Most
profitable
quartile</c:v>
                </c:pt>
                <c:pt idx="1">
                  <c:v>Middle
two quartiles</c:v>
                </c:pt>
                <c:pt idx="2">
                  <c:v>Least
profitable
quartile</c:v>
                </c:pt>
              </c:strCache>
            </c:strRef>
          </c:cat>
          <c:val>
            <c:numRef>
              <c:f>'South West beamers o250kW'!$L$139:$N$139</c:f>
              <c:numCache>
                <c:formatCode>#,##0</c:formatCode>
                <c:ptCount val="3"/>
                <c:pt idx="0">
                  <c:v>1106.20775</c:v>
                </c:pt>
                <c:pt idx="1">
                  <c:v>1187.8713124999999</c:v>
                </c:pt>
                <c:pt idx="2">
                  <c:v>609.42656250000005</c:v>
                </c:pt>
              </c:numCache>
            </c:numRef>
          </c:val>
          <c:extLst>
            <c:ext xmlns:c16="http://schemas.microsoft.com/office/drawing/2014/chart" uri="{C3380CC4-5D6E-409C-BE32-E72D297353CC}">
              <c16:uniqueId val="{00000000-C411-4887-96D4-420F2EFC59B5}"/>
            </c:ext>
          </c:extLst>
        </c:ser>
        <c:ser>
          <c:idx val="1"/>
          <c:order val="1"/>
          <c:tx>
            <c:strRef>
              <c:f>'South West beamers o250kW'!$K$140</c:f>
              <c:strCache>
                <c:ptCount val="1"/>
                <c:pt idx="0">
                  <c:v>Operating costs</c:v>
                </c:pt>
              </c:strCache>
            </c:strRef>
          </c:tx>
          <c:spPr>
            <a:solidFill>
              <a:srgbClr val="E87308"/>
            </a:solidFill>
          </c:spPr>
          <c:invertIfNegative val="0"/>
          <c:cat>
            <c:strRef>
              <c:f>'South West beamers o250kW'!$L$138:$N$138</c:f>
              <c:strCache>
                <c:ptCount val="3"/>
                <c:pt idx="0">
                  <c:v>Most
profitable
quartile</c:v>
                </c:pt>
                <c:pt idx="1">
                  <c:v>Middle
two quartiles</c:v>
                </c:pt>
                <c:pt idx="2">
                  <c:v>Least
profitable
quartile</c:v>
                </c:pt>
              </c:strCache>
            </c:strRef>
          </c:cat>
          <c:val>
            <c:numRef>
              <c:f>'South West beamers o250kW'!$L$140:$N$140</c:f>
              <c:numCache>
                <c:formatCode>#,##0</c:formatCode>
                <c:ptCount val="3"/>
                <c:pt idx="0">
                  <c:v>938.79362500000002</c:v>
                </c:pt>
                <c:pt idx="1">
                  <c:v>1087.9327499999999</c:v>
                </c:pt>
                <c:pt idx="2">
                  <c:v>631.7913125</c:v>
                </c:pt>
              </c:numCache>
            </c:numRef>
          </c:val>
          <c:extLst>
            <c:ext xmlns:c16="http://schemas.microsoft.com/office/drawing/2014/chart" uri="{C3380CC4-5D6E-409C-BE32-E72D297353CC}">
              <c16:uniqueId val="{00000001-C411-4887-96D4-420F2EFC59B5}"/>
            </c:ext>
          </c:extLst>
        </c:ser>
        <c:ser>
          <c:idx val="2"/>
          <c:order val="2"/>
          <c:tx>
            <c:strRef>
              <c:f>'South West beamers o250kW'!$K$141</c:f>
              <c:strCache>
                <c:ptCount val="1"/>
                <c:pt idx="0">
                  <c:v>Operating profit</c:v>
                </c:pt>
              </c:strCache>
            </c:strRef>
          </c:tx>
          <c:spPr>
            <a:solidFill>
              <a:srgbClr val="51AA81"/>
            </a:solidFill>
          </c:spPr>
          <c:invertIfNegative val="0"/>
          <c:cat>
            <c:strRef>
              <c:f>'South West beamers o250kW'!$L$138:$N$138</c:f>
              <c:strCache>
                <c:ptCount val="3"/>
                <c:pt idx="0">
                  <c:v>Most
profitable
quartile</c:v>
                </c:pt>
                <c:pt idx="1">
                  <c:v>Middle
two quartiles</c:v>
                </c:pt>
                <c:pt idx="2">
                  <c:v>Least
profitable
quartile</c:v>
                </c:pt>
              </c:strCache>
            </c:strRef>
          </c:cat>
          <c:val>
            <c:numRef>
              <c:f>'South West beamers o250kW'!$L$141:$N$141</c:f>
              <c:numCache>
                <c:formatCode>#,##0</c:formatCode>
                <c:ptCount val="3"/>
                <c:pt idx="0">
                  <c:v>167.41412500000001</c:v>
                </c:pt>
                <c:pt idx="1">
                  <c:v>99.938562500000003</c:v>
                </c:pt>
                <c:pt idx="2">
                  <c:v>-22.364750000000001</c:v>
                </c:pt>
              </c:numCache>
            </c:numRef>
          </c:val>
          <c:extLst>
            <c:ext xmlns:c16="http://schemas.microsoft.com/office/drawing/2014/chart" uri="{C3380CC4-5D6E-409C-BE32-E72D297353CC}">
              <c16:uniqueId val="{00000002-C411-4887-96D4-420F2EFC59B5}"/>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'South West beamers o250kW'!$K$142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u250kW'!$A$48</c:f>
          <c:strCache>
            <c:ptCount val="1"/>
            <c:pt idx="0">
              <c:v>Landings per kW day at sea (kg)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34FC-4947-B690-F58B6F5315FD}"/>
              </c:ext>
            </c:extLst>
          </c:dPt>
          <c:dPt>
            <c:idx val="10"/>
            <c:bubble3D val="0"/>
            <c:spPr>
              <a:ln w="57150">
                <a:solidFill>
                  <a:srgbClr val="2273B9"/>
                </a:solidFill>
                <a:prstDash val="sysDot"/>
              </a:ln>
            </c:spPr>
            <c:extLst>
              <c:ext xmlns:c16="http://schemas.microsoft.com/office/drawing/2014/chart" uri="{C3380CC4-5D6E-409C-BE32-E72D297353CC}">
                <c16:uniqueId val="{00000003-34FC-4947-B690-F58B6F5315FD}"/>
              </c:ext>
            </c:extLst>
          </c:dPt>
          <c:cat>
            <c:numRef>
              <c:f>'South West beamers u250kW'!$D$2:$N$2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'South West beamers u250kW'!$D$21:$N$21</c:f>
              <c:numCache>
                <c:formatCode>#,##0.00</c:formatCode>
                <c:ptCount val="11"/>
                <c:pt idx="0">
                  <c:v>3.4531818948969173</c:v>
                </c:pt>
                <c:pt idx="1">
                  <c:v>3.8085538478773047</c:v>
                </c:pt>
                <c:pt idx="2">
                  <c:v>4.2919013629767271</c:v>
                </c:pt>
                <c:pt idx="3">
                  <c:v>4.3468476751187071</c:v>
                </c:pt>
                <c:pt idx="4">
                  <c:v>4.2099381255955901</c:v>
                </c:pt>
                <c:pt idx="5">
                  <c:v>4.4918609369670488</c:v>
                </c:pt>
                <c:pt idx="6">
                  <c:v>4.0842536957200126</c:v>
                </c:pt>
                <c:pt idx="7">
                  <c:v>4.1454052787084903</c:v>
                </c:pt>
                <c:pt idx="8">
                  <c:v>3.7922992737046153</c:v>
                </c:pt>
                <c:pt idx="9">
                  <c:v>4.2545362521853063</c:v>
                </c:pt>
                <c:pt idx="10">
                  <c:v>3.8737302277546348</c:v>
                </c:pt>
              </c:numCache>
            </c:numRef>
          </c:val>
          <c:smooth val="0"/>
          <c:extLst>
            <c:ext xmlns:c16="http://schemas.microsoft.com/office/drawing/2014/chart" uri="{C3380CC4-5D6E-409C-BE32-E72D297353CC}">
              <c16:uniqueId val="{00000004-34FC-4947-B690-F58B6F5315FD}"/>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u250kW'!$A$49</c:f>
          <c:strCache>
            <c:ptCount val="1"/>
            <c:pt idx="0">
              <c:v>Fishing income per kW day at sea (£)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0AF4-44C5-861C-3B158CFD9C39}"/>
              </c:ext>
            </c:extLst>
          </c:dPt>
          <c:dPt>
            <c:idx val="10"/>
            <c:bubble3D val="0"/>
            <c:spPr>
              <a:ln w="57150">
                <a:solidFill>
                  <a:srgbClr val="648C2E"/>
                </a:solidFill>
                <a:prstDash val="sysDot"/>
              </a:ln>
            </c:spPr>
            <c:extLst>
              <c:ext xmlns:c16="http://schemas.microsoft.com/office/drawing/2014/chart" uri="{C3380CC4-5D6E-409C-BE32-E72D297353CC}">
                <c16:uniqueId val="{00000003-0AF4-44C5-861C-3B158CFD9C39}"/>
              </c:ext>
            </c:extLst>
          </c:dPt>
          <c:cat>
            <c:numRef>
              <c:f>'South West beamers u250kW'!$D$2:$N$2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'South West beamers u250kW'!$D$22:$N$22</c:f>
              <c:numCache>
                <c:formatCode>#,##0.00</c:formatCode>
                <c:ptCount val="11"/>
                <c:pt idx="0">
                  <c:v>12.112203052088001</c:v>
                </c:pt>
                <c:pt idx="1">
                  <c:v>14.518230434289499</c:v>
                </c:pt>
                <c:pt idx="2">
                  <c:v>13.190384587663599</c:v>
                </c:pt>
                <c:pt idx="3">
                  <c:v>12.867595197986899</c:v>
                </c:pt>
                <c:pt idx="4">
                  <c:v>12.882424226904</c:v>
                </c:pt>
                <c:pt idx="5">
                  <c:v>12.7038276956934</c:v>
                </c:pt>
                <c:pt idx="6">
                  <c:v>14.330365152797199</c:v>
                </c:pt>
                <c:pt idx="7">
                  <c:v>16.4394383042561</c:v>
                </c:pt>
                <c:pt idx="8">
                  <c:v>14.8280661113569</c:v>
                </c:pt>
                <c:pt idx="9">
                  <c:v>15.141328427097401</c:v>
                </c:pt>
                <c:pt idx="10">
                  <c:v>12.659089171277623</c:v>
                </c:pt>
              </c:numCache>
            </c:numRef>
          </c:val>
          <c:smooth val="0"/>
          <c:extLst>
            <c:ext xmlns:c16="http://schemas.microsoft.com/office/drawing/2014/chart" uri="{C3380CC4-5D6E-409C-BE32-E72D297353CC}">
              <c16:uniqueId val="{00000004-0AF4-44C5-861C-3B158CFD9C39}"/>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u250kW'!$B$62</c:f>
          <c:strCache>
            <c:ptCount val="1"/>
            <c:pt idx="0">
              <c:v>Total cost per kW day at sea (£)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3A74-4861-AC38-5FD8CD11D2A8}"/>
              </c:ext>
            </c:extLst>
          </c:dPt>
          <c:dPt>
            <c:idx val="10"/>
            <c:bubble3D val="0"/>
            <c:spPr>
              <a:ln w="57150">
                <a:solidFill>
                  <a:srgbClr val="087CBB"/>
                </a:solidFill>
                <a:prstDash val="sysDot"/>
              </a:ln>
            </c:spPr>
            <c:extLst>
              <c:ext xmlns:c16="http://schemas.microsoft.com/office/drawing/2014/chart" uri="{C3380CC4-5D6E-409C-BE32-E72D297353CC}">
                <c16:uniqueId val="{00000003-3A74-4861-AC38-5FD8CD11D2A8}"/>
              </c:ext>
            </c:extLst>
          </c:dPt>
          <c:cat>
            <c:numRef>
              <c:f>'South West beamers u250kW'!$D$2:$N$2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'South West beamers u250kW'!$D$23:$N$23</c:f>
              <c:numCache>
                <c:formatCode>#,##0.00</c:formatCode>
                <c:ptCount val="11"/>
                <c:pt idx="0">
                  <c:v>11.6820246275846</c:v>
                </c:pt>
                <c:pt idx="1">
                  <c:v>13.965748576491499</c:v>
                </c:pt>
                <c:pt idx="2">
                  <c:v>11.8648340104923</c:v>
                </c:pt>
                <c:pt idx="3">
                  <c:v>12.1169576849423</c:v>
                </c:pt>
                <c:pt idx="4">
                  <c:v>12.619343086803701</c:v>
                </c:pt>
                <c:pt idx="5">
                  <c:v>11.618477177633</c:v>
                </c:pt>
                <c:pt idx="6">
                  <c:v>10.8811010244453</c:v>
                </c:pt>
                <c:pt idx="7">
                  <c:v>12.644566367047</c:v>
                </c:pt>
                <c:pt idx="8">
                  <c:v>12.7211475638011</c:v>
                </c:pt>
                <c:pt idx="9">
                  <c:v>11.629219552066999</c:v>
                </c:pt>
                <c:pt idx="10">
                  <c:v>10.088642880639673</c:v>
                </c:pt>
              </c:numCache>
            </c:numRef>
          </c:val>
          <c:smooth val="0"/>
          <c:extLst>
            <c:ext xmlns:c16="http://schemas.microsoft.com/office/drawing/2014/chart" uri="{C3380CC4-5D6E-409C-BE32-E72D297353CC}">
              <c16:uniqueId val="{00000004-3A74-4861-AC38-5FD8CD11D2A8}"/>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u250kW'!$K$48</c:f>
          <c:strCache>
            <c:ptCount val="1"/>
            <c:pt idx="0">
              <c:v>Operating profit per kW day at sea (£)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0417-4A39-811A-097538F6A36B}"/>
              </c:ext>
            </c:extLst>
          </c:dPt>
          <c:dPt>
            <c:idx val="10"/>
            <c:bubble3D val="0"/>
            <c:spPr>
              <a:ln w="57150">
                <a:solidFill>
                  <a:schemeClr val="accent3"/>
                </a:solidFill>
                <a:prstDash val="sysDot"/>
              </a:ln>
            </c:spPr>
            <c:extLst>
              <c:ext xmlns:c16="http://schemas.microsoft.com/office/drawing/2014/chart" uri="{C3380CC4-5D6E-409C-BE32-E72D297353CC}">
                <c16:uniqueId val="{00000003-0417-4A39-811A-097538F6A36B}"/>
              </c:ext>
            </c:extLst>
          </c:dPt>
          <c:cat>
            <c:numRef>
              <c:f>'South West beamers u250kW'!$D$2:$N$2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'South West beamers u250kW'!$D$24:$N$24</c:f>
              <c:numCache>
                <c:formatCode>#,##0.00</c:formatCode>
                <c:ptCount val="11"/>
                <c:pt idx="0">
                  <c:v>0.476375445365044</c:v>
                </c:pt>
                <c:pt idx="1">
                  <c:v>0.56121490782550099</c:v>
                </c:pt>
                <c:pt idx="2">
                  <c:v>1.89426097101979</c:v>
                </c:pt>
                <c:pt idx="3">
                  <c:v>0.82396447679908003</c:v>
                </c:pt>
                <c:pt idx="4">
                  <c:v>0.70244178204895202</c:v>
                </c:pt>
                <c:pt idx="5">
                  <c:v>1.84650823625538</c:v>
                </c:pt>
                <c:pt idx="6">
                  <c:v>3.4492641283519601</c:v>
                </c:pt>
                <c:pt idx="7">
                  <c:v>3.7949369607243901</c:v>
                </c:pt>
                <c:pt idx="8">
                  <c:v>2.2992405357964798</c:v>
                </c:pt>
                <c:pt idx="9">
                  <c:v>3.5841738846476998</c:v>
                </c:pt>
                <c:pt idx="10">
                  <c:v>2.8324039193151282</c:v>
                </c:pt>
              </c:numCache>
            </c:numRef>
          </c:val>
          <c:smooth val="0"/>
          <c:extLst>
            <c:ext xmlns:c16="http://schemas.microsoft.com/office/drawing/2014/chart" uri="{C3380CC4-5D6E-409C-BE32-E72D297353CC}">
              <c16:uniqueId val="{00000004-0417-4A39-811A-097538F6A36B}"/>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u250kW'!$A$50</c:f>
          <c:strCache>
            <c:ptCount val="1"/>
            <c:pt idx="0">
              <c:v>Average price per tonne landed (£)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022A-4936-A946-E0719F418F1B}"/>
              </c:ext>
            </c:extLst>
          </c:dPt>
          <c:dPt>
            <c:idx val="10"/>
            <c:bubble3D val="0"/>
            <c:spPr>
              <a:ln w="57150">
                <a:solidFill>
                  <a:schemeClr val="accent4"/>
                </a:solidFill>
                <a:prstDash val="sysDot"/>
              </a:ln>
            </c:spPr>
            <c:extLst>
              <c:ext xmlns:c16="http://schemas.microsoft.com/office/drawing/2014/chart" uri="{C3380CC4-5D6E-409C-BE32-E72D297353CC}">
                <c16:uniqueId val="{00000003-022A-4936-A946-E0719F418F1B}"/>
              </c:ext>
            </c:extLst>
          </c:dPt>
          <c:cat>
            <c:numRef>
              <c:f>'South West beamers u250kW'!$D$2:$M$2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'South West beamers u250kW'!$D$20:$N$20</c:f>
              <c:numCache>
                <c:formatCode>#,##0</c:formatCode>
                <c:ptCount val="11"/>
                <c:pt idx="0">
                  <c:v>3508</c:v>
                </c:pt>
                <c:pt idx="1">
                  <c:v>3812</c:v>
                </c:pt>
                <c:pt idx="2">
                  <c:v>3073</c:v>
                </c:pt>
                <c:pt idx="3">
                  <c:v>2960</c:v>
                </c:pt>
                <c:pt idx="4">
                  <c:v>3060</c:v>
                </c:pt>
                <c:pt idx="5">
                  <c:v>2828</c:v>
                </c:pt>
                <c:pt idx="6">
                  <c:v>3509</c:v>
                </c:pt>
                <c:pt idx="7">
                  <c:v>3966</c:v>
                </c:pt>
                <c:pt idx="8">
                  <c:v>3910</c:v>
                </c:pt>
                <c:pt idx="9">
                  <c:v>3559</c:v>
                </c:pt>
                <c:pt idx="10">
                  <c:v>3268</c:v>
                </c:pt>
              </c:numCache>
            </c:numRef>
          </c:val>
          <c:smooth val="0"/>
          <c:extLst>
            <c:ext xmlns:c16="http://schemas.microsoft.com/office/drawing/2014/chart" uri="{C3380CC4-5D6E-409C-BE32-E72D297353CC}">
              <c16:uniqueId val="{00000004-022A-4936-A946-E0719F418F1B}"/>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u250kW'!$B$62</c:f>
          <c:strCache>
            <c:ptCount val="1"/>
            <c:pt idx="0">
              <c:v>Total cost per kW day at sea (£)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35C7-470A-8909-6FFD065C0AB9}"/>
              </c:ext>
            </c:extLst>
          </c:dPt>
          <c:dPt>
            <c:idx val="10"/>
            <c:bubble3D val="0"/>
            <c:spPr>
              <a:ln w="57150">
                <a:solidFill>
                  <a:srgbClr val="087CBB"/>
                </a:solidFill>
                <a:prstDash val="sysDot"/>
              </a:ln>
            </c:spPr>
            <c:extLst>
              <c:ext xmlns:c16="http://schemas.microsoft.com/office/drawing/2014/chart" uri="{C3380CC4-5D6E-409C-BE32-E72D297353CC}">
                <c16:uniqueId val="{00000003-35C7-470A-8909-6FFD065C0AB9}"/>
              </c:ext>
            </c:extLst>
          </c:dPt>
          <c:cat>
            <c:numRef>
              <c:f>'Area VIIa nephrops u250kW'!$D$2:$N$2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'Area VIIa nephrops u250kW'!$D$23:$N$23</c:f>
              <c:numCache>
                <c:formatCode>#,##0.00</c:formatCode>
                <c:ptCount val="11"/>
                <c:pt idx="0">
                  <c:v>4.5831303908043601</c:v>
                </c:pt>
                <c:pt idx="1">
                  <c:v>5.9823075689355596</c:v>
                </c:pt>
                <c:pt idx="2">
                  <c:v>6.6129640761125899</c:v>
                </c:pt>
                <c:pt idx="3">
                  <c:v>5.2745756284932002</c:v>
                </c:pt>
                <c:pt idx="4">
                  <c:v>5.3925159095242199</c:v>
                </c:pt>
                <c:pt idx="5">
                  <c:v>5.91073906262557</c:v>
                </c:pt>
                <c:pt idx="6">
                  <c:v>6.0926529750843201</c:v>
                </c:pt>
                <c:pt idx="7">
                  <c:v>6.5318115669822197</c:v>
                </c:pt>
                <c:pt idx="8">
                  <c:v>5.9048111799512597</c:v>
                </c:pt>
                <c:pt idx="9">
                  <c:v>6.70659579699117</c:v>
                </c:pt>
                <c:pt idx="10">
                  <c:v>6.4566796702544869</c:v>
                </c:pt>
              </c:numCache>
            </c:numRef>
          </c:val>
          <c:smooth val="0"/>
          <c:extLst>
            <c:ext xmlns:c16="http://schemas.microsoft.com/office/drawing/2014/chart" uri="{C3380CC4-5D6E-409C-BE32-E72D297353CC}">
              <c16:uniqueId val="{00000004-35C7-470A-8909-6FFD065C0AB9}"/>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u250kW'!$K$62</c:f>
          <c:strCache>
            <c:ptCount val="1"/>
            <c:pt idx="0">
              <c:v>Average annual operating profit per vessel (£'000)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A2D3-4549-83B7-CB0535B2FC3D}"/>
              </c:ext>
            </c:extLst>
          </c:dPt>
          <c:dPt>
            <c:idx val="10"/>
            <c:bubble3D val="0"/>
            <c:spPr>
              <a:ln w="57150">
                <a:solidFill>
                  <a:schemeClr val="accent5"/>
                </a:solidFill>
                <a:prstDash val="sysDot"/>
              </a:ln>
            </c:spPr>
            <c:extLst>
              <c:ext xmlns:c16="http://schemas.microsoft.com/office/drawing/2014/chart" uri="{C3380CC4-5D6E-409C-BE32-E72D297353CC}">
                <c16:uniqueId val="{00000003-A2D3-4549-83B7-CB0535B2FC3D}"/>
              </c:ext>
            </c:extLst>
          </c:dPt>
          <c:cat>
            <c:numRef>
              <c:f>'South West beamers u250kW'!$D$2:$M$2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'South West beamers u250kW'!$D$37:$N$37</c:f>
              <c:numCache>
                <c:formatCode>#,##0.0</c:formatCode>
                <c:ptCount val="11"/>
                <c:pt idx="0">
                  <c:v>25.2</c:v>
                </c:pt>
                <c:pt idx="1">
                  <c:v>26.3</c:v>
                </c:pt>
                <c:pt idx="2">
                  <c:v>100.6</c:v>
                </c:pt>
                <c:pt idx="3">
                  <c:v>44.7</c:v>
                </c:pt>
                <c:pt idx="4">
                  <c:v>36.9</c:v>
                </c:pt>
                <c:pt idx="5">
                  <c:v>89.7</c:v>
                </c:pt>
                <c:pt idx="6">
                  <c:v>176.6</c:v>
                </c:pt>
                <c:pt idx="7">
                  <c:v>189.7</c:v>
                </c:pt>
                <c:pt idx="8">
                  <c:v>110.3</c:v>
                </c:pt>
                <c:pt idx="9">
                  <c:v>175.8</c:v>
                </c:pt>
                <c:pt idx="10">
                  <c:v>123.60000000000001</c:v>
                </c:pt>
              </c:numCache>
            </c:numRef>
          </c:val>
          <c:smooth val="0"/>
          <c:extLst>
            <c:ext xmlns:c16="http://schemas.microsoft.com/office/drawing/2014/chart" uri="{C3380CC4-5D6E-409C-BE32-E72D297353CC}">
              <c16:uniqueId val="{00000004-A2D3-4549-83B7-CB0535B2FC3D}"/>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u250kW'!$A$76</c:f>
          <c:strCache>
            <c:ptCount val="1"/>
            <c:pt idx="0">
              <c:v>Top 5 landed species by volume in 2019
South West beamers under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E87308"/>
              </a:solidFill>
              <a:ln>
                <a:solidFill>
                  <a:srgbClr val="FFFFFF"/>
                </a:solidFill>
              </a:ln>
            </c:spPr>
            <c:extLst>
              <c:ext xmlns:c16="http://schemas.microsoft.com/office/drawing/2014/chart" uri="{C3380CC4-5D6E-409C-BE32-E72D297353CC}">
                <c16:uniqueId val="{00000001-C940-4239-B56E-B44E35F3CEDC}"/>
              </c:ext>
            </c:extLst>
          </c:dPt>
          <c:dPt>
            <c:idx val="1"/>
            <c:bubble3D val="0"/>
            <c:spPr>
              <a:solidFill>
                <a:srgbClr val="C1D119"/>
              </a:solidFill>
              <a:ln>
                <a:solidFill>
                  <a:srgbClr val="FFFFFF"/>
                </a:solidFill>
              </a:ln>
            </c:spPr>
            <c:extLst>
              <c:ext xmlns:c16="http://schemas.microsoft.com/office/drawing/2014/chart" uri="{C3380CC4-5D6E-409C-BE32-E72D297353CC}">
                <c16:uniqueId val="{00000003-C940-4239-B56E-B44E35F3CEDC}"/>
              </c:ext>
            </c:extLst>
          </c:dPt>
          <c:dPt>
            <c:idx val="2"/>
            <c:bubble3D val="0"/>
            <c:spPr>
              <a:solidFill>
                <a:srgbClr val="648C2E"/>
              </a:solidFill>
              <a:ln>
                <a:solidFill>
                  <a:srgbClr val="FFFFFF"/>
                </a:solidFill>
              </a:ln>
            </c:spPr>
            <c:extLst>
              <c:ext xmlns:c16="http://schemas.microsoft.com/office/drawing/2014/chart" uri="{C3380CC4-5D6E-409C-BE32-E72D297353CC}">
                <c16:uniqueId val="{00000005-C940-4239-B56E-B44E35F3CEDC}"/>
              </c:ext>
            </c:extLst>
          </c:dPt>
          <c:dPt>
            <c:idx val="3"/>
            <c:bubble3D val="0"/>
            <c:spPr>
              <a:solidFill>
                <a:srgbClr val="2273B9"/>
              </a:solidFill>
              <a:ln>
                <a:solidFill>
                  <a:srgbClr val="FFFFFF"/>
                </a:solidFill>
              </a:ln>
            </c:spPr>
            <c:extLst>
              <c:ext xmlns:c16="http://schemas.microsoft.com/office/drawing/2014/chart" uri="{C3380CC4-5D6E-409C-BE32-E72D297353CC}">
                <c16:uniqueId val="{00000007-C940-4239-B56E-B44E35F3CEDC}"/>
              </c:ext>
            </c:extLst>
          </c:dPt>
          <c:dPt>
            <c:idx val="4"/>
            <c:bubble3D val="0"/>
            <c:spPr>
              <a:solidFill>
                <a:srgbClr val="0F9AA9"/>
              </a:solidFill>
              <a:ln>
                <a:solidFill>
                  <a:srgbClr val="FFFFFF"/>
                </a:solidFill>
              </a:ln>
            </c:spPr>
            <c:extLst>
              <c:ext xmlns:c16="http://schemas.microsoft.com/office/drawing/2014/chart" uri="{C3380CC4-5D6E-409C-BE32-E72D297353CC}">
                <c16:uniqueId val="{00000009-C940-4239-B56E-B44E35F3CEDC}"/>
              </c:ext>
            </c:extLst>
          </c:dPt>
          <c:dPt>
            <c:idx val="5"/>
            <c:bubble3D val="0"/>
            <c:spPr>
              <a:solidFill>
                <a:srgbClr val="55585A"/>
              </a:solidFill>
              <a:ln>
                <a:solidFill>
                  <a:srgbClr val="FFFFFF"/>
                </a:solidFill>
              </a:ln>
            </c:spPr>
            <c:extLst>
              <c:ext xmlns:c16="http://schemas.microsoft.com/office/drawing/2014/chart" uri="{C3380CC4-5D6E-409C-BE32-E72D297353CC}">
                <c16:uniqueId val="{0000000B-C940-4239-B56E-B44E35F3CEDC}"/>
              </c:ext>
            </c:extLst>
          </c:dPt>
          <c:cat>
            <c:strRef>
              <c:f>'South West beamers u250kW'!$B$77:$B$82</c:f>
              <c:strCache>
                <c:ptCount val="6"/>
                <c:pt idx="0">
                  <c:v>Cuttlefish - 24.9%</c:v>
                </c:pt>
                <c:pt idx="1">
                  <c:v>Plaice - 12.0%</c:v>
                </c:pt>
                <c:pt idx="2">
                  <c:v>Anglerfish - 11.1%</c:v>
                </c:pt>
                <c:pt idx="3">
                  <c:v>Sole - 9.4%</c:v>
                </c:pt>
                <c:pt idx="4">
                  <c:v>Scallops - 6.1%</c:v>
                </c:pt>
                <c:pt idx="5">
                  <c:v>Others - 36.6%</c:v>
                </c:pt>
              </c:strCache>
            </c:strRef>
          </c:cat>
          <c:val>
            <c:numRef>
              <c:f>'South West beamers u250kW'!$C$77:$C$82</c:f>
              <c:numCache>
                <c:formatCode>0.0%</c:formatCode>
                <c:ptCount val="6"/>
                <c:pt idx="0">
                  <c:v>0.24917654106509163</c:v>
                </c:pt>
                <c:pt idx="1">
                  <c:v>0.12017354994697123</c:v>
                </c:pt>
                <c:pt idx="2">
                  <c:v>0.11052483135405719</c:v>
                </c:pt>
                <c:pt idx="3">
                  <c:v>9.3825968587356423E-2</c:v>
                </c:pt>
                <c:pt idx="4">
                  <c:v>6.0769006459713192E-2</c:v>
                </c:pt>
                <c:pt idx="5">
                  <c:v>0.3655301025868104</c:v>
                </c:pt>
              </c:numCache>
            </c:numRef>
          </c:val>
          <c:extLst>
            <c:ext xmlns:c16="http://schemas.microsoft.com/office/drawing/2014/chart" uri="{C3380CC4-5D6E-409C-BE32-E72D297353CC}">
              <c16:uniqueId val="{0000000C-C940-4239-B56E-B44E35F3CEDC}"/>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u250kW'!$F$76</c:f>
          <c:strCache>
            <c:ptCount val="1"/>
            <c:pt idx="0">
              <c:v>Top 5 landed species by value in 2019
South West beamers under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F19E-479A-A083-368DADFB25A2}"/>
              </c:ext>
            </c:extLst>
          </c:dPt>
          <c:dPt>
            <c:idx val="1"/>
            <c:bubble3D val="0"/>
            <c:spPr>
              <a:solidFill>
                <a:srgbClr val="E87308"/>
              </a:solidFill>
              <a:ln>
                <a:solidFill>
                  <a:srgbClr val="FFFFFF"/>
                </a:solidFill>
              </a:ln>
            </c:spPr>
            <c:extLst>
              <c:ext xmlns:c16="http://schemas.microsoft.com/office/drawing/2014/chart" uri="{C3380CC4-5D6E-409C-BE32-E72D297353CC}">
                <c16:uniqueId val="{00000003-F19E-479A-A083-368DADFB25A2}"/>
              </c:ext>
            </c:extLst>
          </c:dPt>
          <c:dPt>
            <c:idx val="2"/>
            <c:bubble3D val="0"/>
            <c:spPr>
              <a:solidFill>
                <a:srgbClr val="648C2E"/>
              </a:solidFill>
              <a:ln>
                <a:solidFill>
                  <a:srgbClr val="FFFFFF"/>
                </a:solidFill>
              </a:ln>
            </c:spPr>
            <c:extLst>
              <c:ext xmlns:c16="http://schemas.microsoft.com/office/drawing/2014/chart" uri="{C3380CC4-5D6E-409C-BE32-E72D297353CC}">
                <c16:uniqueId val="{00000005-F19E-479A-A083-368DADFB25A2}"/>
              </c:ext>
            </c:extLst>
          </c:dPt>
          <c:dPt>
            <c:idx val="3"/>
            <c:bubble3D val="0"/>
            <c:spPr>
              <a:solidFill>
                <a:srgbClr val="C1D119"/>
              </a:solidFill>
              <a:ln>
                <a:solidFill>
                  <a:srgbClr val="FFFFFF"/>
                </a:solidFill>
              </a:ln>
            </c:spPr>
            <c:extLst>
              <c:ext xmlns:c16="http://schemas.microsoft.com/office/drawing/2014/chart" uri="{C3380CC4-5D6E-409C-BE32-E72D297353CC}">
                <c16:uniqueId val="{00000007-F19E-479A-A083-368DADFB25A2}"/>
              </c:ext>
            </c:extLst>
          </c:dPt>
          <c:dPt>
            <c:idx val="4"/>
            <c:bubble3D val="0"/>
            <c:spPr>
              <a:solidFill>
                <a:srgbClr val="E84A38"/>
              </a:solidFill>
              <a:ln>
                <a:solidFill>
                  <a:srgbClr val="FFFFFF"/>
                </a:solidFill>
              </a:ln>
            </c:spPr>
            <c:extLst>
              <c:ext xmlns:c16="http://schemas.microsoft.com/office/drawing/2014/chart" uri="{C3380CC4-5D6E-409C-BE32-E72D297353CC}">
                <c16:uniqueId val="{00000009-F19E-479A-A083-368DADFB25A2}"/>
              </c:ext>
            </c:extLst>
          </c:dPt>
          <c:dPt>
            <c:idx val="5"/>
            <c:bubble3D val="0"/>
            <c:spPr>
              <a:solidFill>
                <a:srgbClr val="55585A"/>
              </a:solidFill>
              <a:ln>
                <a:solidFill>
                  <a:srgbClr val="FFFFFF"/>
                </a:solidFill>
              </a:ln>
            </c:spPr>
            <c:extLst>
              <c:ext xmlns:c16="http://schemas.microsoft.com/office/drawing/2014/chart" uri="{C3380CC4-5D6E-409C-BE32-E72D297353CC}">
                <c16:uniqueId val="{0000000B-F19E-479A-A083-368DADFB25A2}"/>
              </c:ext>
            </c:extLst>
          </c:dPt>
          <c:cat>
            <c:strRef>
              <c:f>'South West beamers u250kW'!$G$77:$G$82</c:f>
              <c:strCache>
                <c:ptCount val="6"/>
                <c:pt idx="0">
                  <c:v>Sole - 34.3%</c:v>
                </c:pt>
                <c:pt idx="1">
                  <c:v>Cuttlefish - 19.4%</c:v>
                </c:pt>
                <c:pt idx="2">
                  <c:v>Anglerfish - 9.7%</c:v>
                </c:pt>
                <c:pt idx="3">
                  <c:v>Plaice - 8.2%</c:v>
                </c:pt>
                <c:pt idx="4">
                  <c:v>Turbot - 5.0%</c:v>
                </c:pt>
                <c:pt idx="5">
                  <c:v>Others - 23.3%</c:v>
                </c:pt>
              </c:strCache>
            </c:strRef>
          </c:cat>
          <c:val>
            <c:numRef>
              <c:f>'South West beamers u250kW'!$H$77:$H$82</c:f>
              <c:numCache>
                <c:formatCode>0.0%</c:formatCode>
                <c:ptCount val="6"/>
                <c:pt idx="0">
                  <c:v>0.34313614012655197</c:v>
                </c:pt>
                <c:pt idx="1">
                  <c:v>0.19411609234753219</c:v>
                </c:pt>
                <c:pt idx="2">
                  <c:v>9.7349128873374713E-2</c:v>
                </c:pt>
                <c:pt idx="3">
                  <c:v>8.2308003079815575E-2</c:v>
                </c:pt>
                <c:pt idx="4">
                  <c:v>4.9839328767719168E-2</c:v>
                </c:pt>
                <c:pt idx="5">
                  <c:v>0.2332513068050065</c:v>
                </c:pt>
              </c:numCache>
            </c:numRef>
          </c:val>
          <c:extLst>
            <c:ext xmlns:c16="http://schemas.microsoft.com/office/drawing/2014/chart" uri="{C3380CC4-5D6E-409C-BE32-E72D297353CC}">
              <c16:uniqueId val="{0000000C-F19E-479A-A083-368DADFB25A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u250kW'!$K$77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'South West beamers u250kW'!$C$92</c:f>
              <c:strCache>
                <c:ptCount val="1"/>
                <c:pt idx="0">
                  <c:v>Sole</c:v>
                </c:pt>
              </c:strCache>
            </c:strRef>
          </c:tx>
          <c:spPr>
            <a:solidFill>
              <a:srgbClr val="2273B9"/>
            </a:solidFill>
            <a:ln>
              <a:solidFill>
                <a:srgbClr val="FFFFFF"/>
              </a:solidFill>
            </a:ln>
          </c:spPr>
          <c:invertIfNegative val="0"/>
          <c:cat>
            <c:numRef>
              <c:f>'South West beamers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'South West beamers u250kW'!$D$92:$M$92</c:f>
              <c:numCache>
                <c:formatCode>0%</c:formatCode>
                <c:ptCount val="10"/>
                <c:pt idx="0">
                  <c:v>0.33165464597423738</c:v>
                </c:pt>
                <c:pt idx="1">
                  <c:v>0.29691433154849461</c:v>
                </c:pt>
                <c:pt idx="2">
                  <c:v>0.30137013569889393</c:v>
                </c:pt>
                <c:pt idx="3">
                  <c:v>0.31327666193874859</c:v>
                </c:pt>
                <c:pt idx="4">
                  <c:v>0.249869726285287</c:v>
                </c:pt>
                <c:pt idx="5">
                  <c:v>0.30845283126236539</c:v>
                </c:pt>
                <c:pt idx="6">
                  <c:v>0.27127441686556769</c:v>
                </c:pt>
                <c:pt idx="7">
                  <c:v>0.30619542803316985</c:v>
                </c:pt>
                <c:pt idx="8">
                  <c:v>0.34313614012655197</c:v>
                </c:pt>
                <c:pt idx="9">
                  <c:v>0.39216586630944161</c:v>
                </c:pt>
              </c:numCache>
            </c:numRef>
          </c:val>
          <c:extLst>
            <c:ext xmlns:c16="http://schemas.microsoft.com/office/drawing/2014/chart" uri="{C3380CC4-5D6E-409C-BE32-E72D297353CC}">
              <c16:uniqueId val="{00000000-C8F8-4F8F-A138-B23DE56E355B}"/>
            </c:ext>
          </c:extLst>
        </c:ser>
        <c:ser>
          <c:idx val="1"/>
          <c:order val="1"/>
          <c:tx>
            <c:strRef>
              <c:f>'South West beamers u250kW'!$C$93</c:f>
              <c:strCache>
                <c:ptCount val="1"/>
                <c:pt idx="0">
                  <c:v>Cuttlefish</c:v>
                </c:pt>
              </c:strCache>
            </c:strRef>
          </c:tx>
          <c:spPr>
            <a:solidFill>
              <a:srgbClr val="E87308"/>
            </a:solidFill>
            <a:ln>
              <a:solidFill>
                <a:srgbClr val="FFFFFF"/>
              </a:solidFill>
            </a:ln>
          </c:spPr>
          <c:invertIfNegative val="0"/>
          <c:cat>
            <c:numRef>
              <c:f>'South West beamers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'South West beamers u250kW'!$D$93:$M$93</c:f>
              <c:numCache>
                <c:formatCode>0%</c:formatCode>
                <c:ptCount val="10"/>
                <c:pt idx="0">
                  <c:v>0.18713158370673877</c:v>
                </c:pt>
                <c:pt idx="1">
                  <c:v>0.22601312548148128</c:v>
                </c:pt>
                <c:pt idx="2">
                  <c:v>0.176768965806258</c:v>
                </c:pt>
                <c:pt idx="3">
                  <c:v>0.13221071188071332</c:v>
                </c:pt>
                <c:pt idx="4">
                  <c:v>0.21384471077836212</c:v>
                </c:pt>
                <c:pt idx="5">
                  <c:v>0.20228788958969762</c:v>
                </c:pt>
                <c:pt idx="6">
                  <c:v>0.32155277023419343</c:v>
                </c:pt>
                <c:pt idx="7">
                  <c:v>0.23451764617336684</c:v>
                </c:pt>
                <c:pt idx="8">
                  <c:v>0.19411609234753219</c:v>
                </c:pt>
                <c:pt idx="9">
                  <c:v>0.13889153445514676</c:v>
                </c:pt>
              </c:numCache>
            </c:numRef>
          </c:val>
          <c:extLst>
            <c:ext xmlns:c16="http://schemas.microsoft.com/office/drawing/2014/chart" uri="{C3380CC4-5D6E-409C-BE32-E72D297353CC}">
              <c16:uniqueId val="{00000001-C8F8-4F8F-A138-B23DE56E355B}"/>
            </c:ext>
          </c:extLst>
        </c:ser>
        <c:ser>
          <c:idx val="2"/>
          <c:order val="2"/>
          <c:tx>
            <c:strRef>
              <c:f>'South West beamers u250kW'!$C$94</c:f>
              <c:strCache>
                <c:ptCount val="1"/>
                <c:pt idx="0">
                  <c:v>Anglerfish</c:v>
                </c:pt>
              </c:strCache>
            </c:strRef>
          </c:tx>
          <c:spPr>
            <a:solidFill>
              <a:srgbClr val="648C2E"/>
            </a:solidFill>
            <a:ln>
              <a:solidFill>
                <a:srgbClr val="FFFFFF"/>
              </a:solidFill>
            </a:ln>
          </c:spPr>
          <c:invertIfNegative val="0"/>
          <c:cat>
            <c:numRef>
              <c:f>'South West beamers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'South West beamers u250kW'!$D$94:$M$94</c:f>
              <c:numCache>
                <c:formatCode>0%</c:formatCode>
                <c:ptCount val="10"/>
                <c:pt idx="0">
                  <c:v>0.14826074144753459</c:v>
                </c:pt>
                <c:pt idx="1">
                  <c:v>0.14394694726582083</c:v>
                </c:pt>
                <c:pt idx="2">
                  <c:v>0.16010500847611142</c:v>
                </c:pt>
                <c:pt idx="3">
                  <c:v>0.15584372871393073</c:v>
                </c:pt>
                <c:pt idx="4">
                  <c:v>0.13602908656050966</c:v>
                </c:pt>
                <c:pt idx="5">
                  <c:v>0.13059844942228363</c:v>
                </c:pt>
                <c:pt idx="6">
                  <c:v>9.2511798252933597E-2</c:v>
                </c:pt>
                <c:pt idx="7">
                  <c:v>7.9992366619658195E-2</c:v>
                </c:pt>
                <c:pt idx="8">
                  <c:v>9.7349128873374713E-2</c:v>
                </c:pt>
                <c:pt idx="9">
                  <c:v>0.12438062968452329</c:v>
                </c:pt>
              </c:numCache>
            </c:numRef>
          </c:val>
          <c:extLst>
            <c:ext xmlns:c16="http://schemas.microsoft.com/office/drawing/2014/chart" uri="{C3380CC4-5D6E-409C-BE32-E72D297353CC}">
              <c16:uniqueId val="{00000002-C8F8-4F8F-A138-B23DE56E355B}"/>
            </c:ext>
          </c:extLst>
        </c:ser>
        <c:ser>
          <c:idx val="3"/>
          <c:order val="3"/>
          <c:tx>
            <c:strRef>
              <c:f>'South West beamers u250kW'!$C$95</c:f>
              <c:strCache>
                <c:ptCount val="1"/>
                <c:pt idx="0">
                  <c:v>Plaice</c:v>
                </c:pt>
              </c:strCache>
            </c:strRef>
          </c:tx>
          <c:spPr>
            <a:solidFill>
              <a:srgbClr val="C1D119"/>
            </a:solidFill>
            <a:ln>
              <a:solidFill>
                <a:srgbClr val="FFFFFF"/>
              </a:solidFill>
            </a:ln>
          </c:spPr>
          <c:invertIfNegative val="0"/>
          <c:cat>
            <c:numRef>
              <c:f>'South West beamers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'South West beamers u250kW'!$D$95:$M$95</c:f>
              <c:numCache>
                <c:formatCode>0%</c:formatCode>
                <c:ptCount val="10"/>
                <c:pt idx="0">
                  <c:v>6.0458362956310782E-2</c:v>
                </c:pt>
                <c:pt idx="1">
                  <c:v>5.3924473115099888E-2</c:v>
                </c:pt>
                <c:pt idx="2">
                  <c:v>5.2155063158520858E-2</c:v>
                </c:pt>
                <c:pt idx="4">
                  <c:v>5.8053617621774058E-2</c:v>
                </c:pt>
                <c:pt idx="5">
                  <c:v>6.8758930702755891E-2</c:v>
                </c:pt>
                <c:pt idx="6">
                  <c:v>7.0112024980534052E-2</c:v>
                </c:pt>
                <c:pt idx="7">
                  <c:v>8.8835811922408719E-2</c:v>
                </c:pt>
                <c:pt idx="8">
                  <c:v>8.2308003079815575E-2</c:v>
                </c:pt>
                <c:pt idx="9">
                  <c:v>6.7325595842681135E-2</c:v>
                </c:pt>
              </c:numCache>
            </c:numRef>
          </c:val>
          <c:extLst>
            <c:ext xmlns:c16="http://schemas.microsoft.com/office/drawing/2014/chart" uri="{C3380CC4-5D6E-409C-BE32-E72D297353CC}">
              <c16:uniqueId val="{00000003-C8F8-4F8F-A138-B23DE56E355B}"/>
            </c:ext>
          </c:extLst>
        </c:ser>
        <c:ser>
          <c:idx val="4"/>
          <c:order val="4"/>
          <c:tx>
            <c:strRef>
              <c:f>'South West beamers u250kW'!$C$96</c:f>
              <c:strCache>
                <c:ptCount val="1"/>
                <c:pt idx="0">
                  <c:v>Turbot</c:v>
                </c:pt>
              </c:strCache>
            </c:strRef>
          </c:tx>
          <c:spPr>
            <a:solidFill>
              <a:srgbClr val="E84A38"/>
            </a:solidFill>
            <a:ln>
              <a:solidFill>
                <a:srgbClr val="FFFFFF"/>
              </a:solidFill>
            </a:ln>
          </c:spPr>
          <c:invertIfNegative val="0"/>
          <c:cat>
            <c:numRef>
              <c:f>'South West beamers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'South West beamers u250kW'!$D$96:$M$96</c:f>
              <c:numCache>
                <c:formatCode>0%</c:formatCode>
                <c:ptCount val="10"/>
                <c:pt idx="6">
                  <c:v>4.9078084081424708E-2</c:v>
                </c:pt>
                <c:pt idx="7">
                  <c:v>4.9573355836687732E-2</c:v>
                </c:pt>
                <c:pt idx="8">
                  <c:v>4.9839328767719168E-2</c:v>
                </c:pt>
              </c:numCache>
            </c:numRef>
          </c:val>
          <c:extLst>
            <c:ext xmlns:c16="http://schemas.microsoft.com/office/drawing/2014/chart" uri="{C3380CC4-5D6E-409C-BE32-E72D297353CC}">
              <c16:uniqueId val="{00000004-C8F8-4F8F-A138-B23DE56E355B}"/>
            </c:ext>
          </c:extLst>
        </c:ser>
        <c:ser>
          <c:idx val="5"/>
          <c:order val="5"/>
          <c:tx>
            <c:strRef>
              <c:f>'South West beamers u250kW'!$C$97</c:f>
              <c:strCache>
                <c:ptCount val="1"/>
                <c:pt idx="0">
                  <c:v>Scallops</c:v>
                </c:pt>
              </c:strCache>
            </c:strRef>
          </c:tx>
          <c:spPr>
            <a:solidFill>
              <a:srgbClr val="0F9AA9"/>
            </a:solidFill>
            <a:ln>
              <a:solidFill>
                <a:srgbClr val="FFFFFF"/>
              </a:solidFill>
            </a:ln>
          </c:spPr>
          <c:invertIfNegative val="0"/>
          <c:cat>
            <c:numRef>
              <c:f>'South West beamers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'South West beamers u250kW'!$D$97:$M$97</c:f>
              <c:numCache>
                <c:formatCode>0%</c:formatCode>
                <c:ptCount val="10"/>
                <c:pt idx="0">
                  <c:v>4.7252161892689985E-2</c:v>
                </c:pt>
                <c:pt idx="1">
                  <c:v>4.4048966568223442E-2</c:v>
                </c:pt>
                <c:pt idx="2">
                  <c:v>5.7972394508236831E-2</c:v>
                </c:pt>
                <c:pt idx="3">
                  <c:v>7.156080587492529E-2</c:v>
                </c:pt>
                <c:pt idx="4">
                  <c:v>8.3039232908570543E-2</c:v>
                </c:pt>
                <c:pt idx="5">
                  <c:v>5.9237091732385019E-2</c:v>
                </c:pt>
                <c:pt idx="9">
                  <c:v>5.7410017028836038E-2</c:v>
                </c:pt>
              </c:numCache>
            </c:numRef>
          </c:val>
          <c:extLst>
            <c:ext xmlns:c16="http://schemas.microsoft.com/office/drawing/2014/chart" uri="{C3380CC4-5D6E-409C-BE32-E72D297353CC}">
              <c16:uniqueId val="{00000005-C8F8-4F8F-A138-B23DE56E355B}"/>
            </c:ext>
          </c:extLst>
        </c:ser>
        <c:ser>
          <c:idx val="6"/>
          <c:order val="6"/>
          <c:tx>
            <c:strRef>
              <c:f>'South West beamers u250kW'!$C$98</c:f>
              <c:strCache>
                <c:ptCount val="1"/>
                <c:pt idx="0">
                  <c:v>Lemon Sole</c:v>
                </c:pt>
              </c:strCache>
            </c:strRef>
          </c:tx>
          <c:spPr>
            <a:solidFill>
              <a:srgbClr val="FED825"/>
            </a:solidFill>
            <a:ln>
              <a:solidFill>
                <a:srgbClr val="FFFFFF"/>
              </a:solidFill>
            </a:ln>
          </c:spPr>
          <c:invertIfNegative val="0"/>
          <c:cat>
            <c:numRef>
              <c:f>'South West beamers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'South West beamers u250kW'!$D$98:$M$98</c:f>
              <c:numCache>
                <c:formatCode>0%</c:formatCode>
                <c:ptCount val="10"/>
                <c:pt idx="3">
                  <c:v>6.1823384450716522E-2</c:v>
                </c:pt>
              </c:numCache>
            </c:numRef>
          </c:val>
          <c:extLst>
            <c:ext xmlns:c16="http://schemas.microsoft.com/office/drawing/2014/chart" uri="{C3380CC4-5D6E-409C-BE32-E72D297353CC}">
              <c16:uniqueId val="{00000006-C8F8-4F8F-A138-B23DE56E355B}"/>
            </c:ext>
          </c:extLst>
        </c:ser>
        <c:ser>
          <c:idx val="7"/>
          <c:order val="7"/>
          <c:tx>
            <c:strRef>
              <c:f>'South West beamers u250kW'!$C$99</c:f>
              <c:strCache>
                <c:ptCount val="1"/>
                <c:pt idx="0">
                  <c:v>Others</c:v>
                </c:pt>
              </c:strCache>
            </c:strRef>
          </c:tx>
          <c:spPr>
            <a:solidFill>
              <a:srgbClr val="55585A"/>
            </a:solidFill>
            <a:ln>
              <a:solidFill>
                <a:srgbClr val="FFFFFF"/>
              </a:solidFill>
            </a:ln>
          </c:spPr>
          <c:invertIfNegative val="0"/>
          <c:cat>
            <c:numRef>
              <c:f>'South West beamers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'South West beamers u250kW'!$D$99:$M$99</c:f>
              <c:numCache>
                <c:formatCode>0%</c:formatCode>
                <c:ptCount val="10"/>
                <c:pt idx="0">
                  <c:v>0.22524250402248852</c:v>
                </c:pt>
                <c:pt idx="1">
                  <c:v>0.23515215602087994</c:v>
                </c:pt>
                <c:pt idx="2">
                  <c:v>0.25162843235197896</c:v>
                </c:pt>
                <c:pt idx="3">
                  <c:v>0.26528470714096553</c:v>
                </c:pt>
                <c:pt idx="4">
                  <c:v>0.25916362584549663</c:v>
                </c:pt>
                <c:pt idx="5">
                  <c:v>0.23066480729051245</c:v>
                </c:pt>
                <c:pt idx="6">
                  <c:v>0.19547090558534652</c:v>
                </c:pt>
                <c:pt idx="7">
                  <c:v>0.24088539141470869</c:v>
                </c:pt>
                <c:pt idx="8">
                  <c:v>0.23325130680500641</c:v>
                </c:pt>
                <c:pt idx="9">
                  <c:v>0.21982635667937117</c:v>
                </c:pt>
              </c:numCache>
            </c:numRef>
          </c:val>
          <c:extLst>
            <c:ext xmlns:c16="http://schemas.microsoft.com/office/drawing/2014/chart" uri="{C3380CC4-5D6E-409C-BE32-E72D297353CC}">
              <c16:uniqueId val="{00000007-C8F8-4F8F-A138-B23DE56E355B}"/>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'South West beamers u250kW'!$B$162</c:f>
              <c:strCache>
                <c:ptCount val="1"/>
                <c:pt idx="0">
                  <c:v>Cuttlefish</c:v>
                </c:pt>
              </c:strCache>
            </c:strRef>
          </c:tx>
          <c:spPr>
            <a:solidFill>
              <a:srgbClr val="E87308"/>
            </a:solidFill>
            <a:ln>
              <a:solidFill>
                <a:srgbClr val="FFFFFF"/>
              </a:solidFill>
            </a:ln>
          </c:spPr>
          <c:invertIfNegative val="0"/>
          <c:cat>
            <c:strRef>
              <c:f>'South West beamers u250kW'!$C$161:$E$161</c:f>
              <c:strCache>
                <c:ptCount val="3"/>
                <c:pt idx="0">
                  <c:v>Most
profitable
quartile</c:v>
                </c:pt>
                <c:pt idx="1">
                  <c:v>Middle 
two quartiles</c:v>
                </c:pt>
                <c:pt idx="2">
                  <c:v>Least
profitable
quartile</c:v>
                </c:pt>
              </c:strCache>
            </c:strRef>
          </c:cat>
          <c:val>
            <c:numRef>
              <c:f>'South West beamers u250kW'!$C$162:$E$162</c:f>
              <c:numCache>
                <c:formatCode>0%</c:formatCode>
                <c:ptCount val="3"/>
                <c:pt idx="0">
                  <c:v>0.26307390472600439</c:v>
                </c:pt>
                <c:pt idx="1">
                  <c:v>0.274658489686741</c:v>
                </c:pt>
                <c:pt idx="2">
                  <c:v>0.26732296859652416</c:v>
                </c:pt>
              </c:numCache>
            </c:numRef>
          </c:val>
          <c:extLst>
            <c:ext xmlns:c16="http://schemas.microsoft.com/office/drawing/2014/chart" uri="{C3380CC4-5D6E-409C-BE32-E72D297353CC}">
              <c16:uniqueId val="{00000000-05FD-4EF6-8318-7AB43BFB17F6}"/>
            </c:ext>
          </c:extLst>
        </c:ser>
        <c:ser>
          <c:idx val="1"/>
          <c:order val="1"/>
          <c:tx>
            <c:strRef>
              <c:f>'South West beamers u250kW'!$B$163</c:f>
              <c:strCache>
                <c:ptCount val="1"/>
                <c:pt idx="0">
                  <c:v>Plaice</c:v>
                </c:pt>
              </c:strCache>
            </c:strRef>
          </c:tx>
          <c:spPr>
            <a:solidFill>
              <a:srgbClr val="C1D119"/>
            </a:solidFill>
            <a:ln>
              <a:solidFill>
                <a:srgbClr val="FFFFFF"/>
              </a:solidFill>
            </a:ln>
          </c:spPr>
          <c:invertIfNegative val="0"/>
          <c:cat>
            <c:strRef>
              <c:f>'South West beamers u250kW'!$C$161:$E$161</c:f>
              <c:strCache>
                <c:ptCount val="3"/>
                <c:pt idx="0">
                  <c:v>Most
profitable
quartile</c:v>
                </c:pt>
                <c:pt idx="1">
                  <c:v>Middle 
two quartiles</c:v>
                </c:pt>
                <c:pt idx="2">
                  <c:v>Least
profitable
quartile</c:v>
                </c:pt>
              </c:strCache>
            </c:strRef>
          </c:cat>
          <c:val>
            <c:numRef>
              <c:f>'South West beamers u250kW'!$C$163:$E$163</c:f>
              <c:numCache>
                <c:formatCode>0%</c:formatCode>
                <c:ptCount val="3"/>
                <c:pt idx="0">
                  <c:v>0.11391538639863182</c:v>
                </c:pt>
                <c:pt idx="1">
                  <c:v>0.13571912900931302</c:v>
                </c:pt>
                <c:pt idx="2">
                  <c:v>0.14585621254010042</c:v>
                </c:pt>
              </c:numCache>
            </c:numRef>
          </c:val>
          <c:extLst>
            <c:ext xmlns:c16="http://schemas.microsoft.com/office/drawing/2014/chart" uri="{C3380CC4-5D6E-409C-BE32-E72D297353CC}">
              <c16:uniqueId val="{00000001-05FD-4EF6-8318-7AB43BFB17F6}"/>
            </c:ext>
          </c:extLst>
        </c:ser>
        <c:ser>
          <c:idx val="2"/>
          <c:order val="2"/>
          <c:tx>
            <c:strRef>
              <c:f>'South West beamers u250kW'!$B$164</c:f>
              <c:strCache>
                <c:ptCount val="1"/>
                <c:pt idx="0">
                  <c:v>Les. Spot. Dog</c:v>
                </c:pt>
              </c:strCache>
            </c:strRef>
          </c:tx>
          <c:spPr>
            <a:solidFill>
              <a:srgbClr val="FED825"/>
            </a:solidFill>
            <a:ln>
              <a:solidFill>
                <a:srgbClr val="FFFFFF"/>
              </a:solidFill>
            </a:ln>
          </c:spPr>
          <c:invertIfNegative val="0"/>
          <c:cat>
            <c:strRef>
              <c:f>'South West beamers u250kW'!$C$161:$E$161</c:f>
              <c:strCache>
                <c:ptCount val="3"/>
                <c:pt idx="0">
                  <c:v>Most
profitable
quartile</c:v>
                </c:pt>
                <c:pt idx="1">
                  <c:v>Middle 
two quartiles</c:v>
                </c:pt>
                <c:pt idx="2">
                  <c:v>Least
profitable
quartile</c:v>
                </c:pt>
              </c:strCache>
            </c:strRef>
          </c:cat>
          <c:val>
            <c:numRef>
              <c:f>'South West beamers u250kW'!$C$164:$E$164</c:f>
              <c:numCache>
                <c:formatCode>0%</c:formatCode>
                <c:ptCount val="3"/>
                <c:pt idx="0">
                  <c:v>0</c:v>
                </c:pt>
                <c:pt idx="1">
                  <c:v>0.12147886168166021</c:v>
                </c:pt>
                <c:pt idx="2">
                  <c:v>0</c:v>
                </c:pt>
              </c:numCache>
            </c:numRef>
          </c:val>
          <c:extLst>
            <c:ext xmlns:c16="http://schemas.microsoft.com/office/drawing/2014/chart" uri="{C3380CC4-5D6E-409C-BE32-E72D297353CC}">
              <c16:uniqueId val="{00000002-05FD-4EF6-8318-7AB43BFB17F6}"/>
            </c:ext>
          </c:extLst>
        </c:ser>
        <c:ser>
          <c:idx val="3"/>
          <c:order val="3"/>
          <c:tx>
            <c:strRef>
              <c:f>'South West beamers u250kW'!$B$165</c:f>
              <c:strCache>
                <c:ptCount val="1"/>
                <c:pt idx="0">
                  <c:v>Sole</c:v>
                </c:pt>
              </c:strCache>
            </c:strRef>
          </c:tx>
          <c:spPr>
            <a:solidFill>
              <a:srgbClr val="2273B9"/>
            </a:solidFill>
            <a:ln>
              <a:solidFill>
                <a:srgbClr val="FFFFFF"/>
              </a:solidFill>
            </a:ln>
          </c:spPr>
          <c:invertIfNegative val="0"/>
          <c:cat>
            <c:strRef>
              <c:f>'South West beamers u250kW'!$C$161:$E$161</c:f>
              <c:strCache>
                <c:ptCount val="3"/>
                <c:pt idx="0">
                  <c:v>Most
profitable
quartile</c:v>
                </c:pt>
                <c:pt idx="1">
                  <c:v>Middle 
two quartiles</c:v>
                </c:pt>
                <c:pt idx="2">
                  <c:v>Least
profitable
quartile</c:v>
                </c:pt>
              </c:strCache>
            </c:strRef>
          </c:cat>
          <c:val>
            <c:numRef>
              <c:f>'South West beamers u250kW'!$C$165:$E$165</c:f>
              <c:numCache>
                <c:formatCode>0%</c:formatCode>
                <c:ptCount val="3"/>
                <c:pt idx="0">
                  <c:v>9.7422902797577246E-2</c:v>
                </c:pt>
                <c:pt idx="1">
                  <c:v>0.11790736455247212</c:v>
                </c:pt>
                <c:pt idx="2">
                  <c:v>7.2278799243531325E-2</c:v>
                </c:pt>
              </c:numCache>
            </c:numRef>
          </c:val>
          <c:extLst>
            <c:ext xmlns:c16="http://schemas.microsoft.com/office/drawing/2014/chart" uri="{C3380CC4-5D6E-409C-BE32-E72D297353CC}">
              <c16:uniqueId val="{00000003-05FD-4EF6-8318-7AB43BFB17F6}"/>
            </c:ext>
          </c:extLst>
        </c:ser>
        <c:ser>
          <c:idx val="4"/>
          <c:order val="4"/>
          <c:tx>
            <c:strRef>
              <c:f>'South West beamers u250kW'!$B$166</c:f>
              <c:strCache>
                <c:ptCount val="1"/>
                <c:pt idx="0">
                  <c:v>Anglerfish</c:v>
                </c:pt>
              </c:strCache>
            </c:strRef>
          </c:tx>
          <c:spPr>
            <a:solidFill>
              <a:srgbClr val="648C2E"/>
            </a:solidFill>
            <a:ln>
              <a:solidFill>
                <a:srgbClr val="FFFFFF"/>
              </a:solidFill>
            </a:ln>
          </c:spPr>
          <c:invertIfNegative val="0"/>
          <c:cat>
            <c:strRef>
              <c:f>'South West beamers u250kW'!$C$161:$E$161</c:f>
              <c:strCache>
                <c:ptCount val="3"/>
                <c:pt idx="0">
                  <c:v>Most
profitable
quartile</c:v>
                </c:pt>
                <c:pt idx="1">
                  <c:v>Middle 
two quartiles</c:v>
                </c:pt>
                <c:pt idx="2">
                  <c:v>Least
profitable
quartile</c:v>
                </c:pt>
              </c:strCache>
            </c:strRef>
          </c:cat>
          <c:val>
            <c:numRef>
              <c:f>'South West beamers u250kW'!$C$166:$E$166</c:f>
              <c:numCache>
                <c:formatCode>0%</c:formatCode>
                <c:ptCount val="3"/>
                <c:pt idx="0">
                  <c:v>0.14055085694426361</c:v>
                </c:pt>
                <c:pt idx="1">
                  <c:v>0.11685782844897454</c:v>
                </c:pt>
                <c:pt idx="2">
                  <c:v>8.5180196080323733E-2</c:v>
                </c:pt>
              </c:numCache>
            </c:numRef>
          </c:val>
          <c:extLst>
            <c:ext xmlns:c16="http://schemas.microsoft.com/office/drawing/2014/chart" uri="{C3380CC4-5D6E-409C-BE32-E72D297353CC}">
              <c16:uniqueId val="{00000004-05FD-4EF6-8318-7AB43BFB17F6}"/>
            </c:ext>
          </c:extLst>
        </c:ser>
        <c:ser>
          <c:idx val="5"/>
          <c:order val="5"/>
          <c:tx>
            <c:strRef>
              <c:f>'South West beamers u250kW'!$B$167</c:f>
              <c:strCache>
                <c:ptCount val="1"/>
                <c:pt idx="0">
                  <c:v>Scallops</c:v>
                </c:pt>
              </c:strCache>
            </c:strRef>
          </c:tx>
          <c:spPr>
            <a:solidFill>
              <a:srgbClr val="0F9AA9"/>
            </a:solidFill>
            <a:ln>
              <a:solidFill>
                <a:srgbClr val="FFFFFF"/>
              </a:solidFill>
            </a:ln>
          </c:spPr>
          <c:invertIfNegative val="0"/>
          <c:cat>
            <c:strRef>
              <c:f>'South West beamers u250kW'!$C$161:$E$161</c:f>
              <c:strCache>
                <c:ptCount val="3"/>
                <c:pt idx="0">
                  <c:v>Most
profitable
quartile</c:v>
                </c:pt>
                <c:pt idx="1">
                  <c:v>Middle 
two quartiles</c:v>
                </c:pt>
                <c:pt idx="2">
                  <c:v>Least
profitable
quartile</c:v>
                </c:pt>
              </c:strCache>
            </c:strRef>
          </c:cat>
          <c:val>
            <c:numRef>
              <c:f>'South West beamers u250kW'!$C$167:$E$167</c:f>
              <c:numCache>
                <c:formatCode>0%</c:formatCode>
                <c:ptCount val="3"/>
                <c:pt idx="0">
                  <c:v>0</c:v>
                </c:pt>
                <c:pt idx="1">
                  <c:v>0</c:v>
                </c:pt>
                <c:pt idx="2">
                  <c:v>0.19437023506908488</c:v>
                </c:pt>
              </c:numCache>
            </c:numRef>
          </c:val>
          <c:extLst>
            <c:ext xmlns:c16="http://schemas.microsoft.com/office/drawing/2014/chart" uri="{C3380CC4-5D6E-409C-BE32-E72D297353CC}">
              <c16:uniqueId val="{00000005-05FD-4EF6-8318-7AB43BFB17F6}"/>
            </c:ext>
          </c:extLst>
        </c:ser>
        <c:ser>
          <c:idx val="6"/>
          <c:order val="6"/>
          <c:tx>
            <c:strRef>
              <c:f>'South West beamers u250kW'!$B$168</c:f>
              <c:strCache>
                <c:ptCount val="1"/>
                <c:pt idx="0">
                  <c:v>Gurnard</c:v>
                </c:pt>
              </c:strCache>
            </c:strRef>
          </c:tx>
          <c:spPr>
            <a:solidFill>
              <a:srgbClr val="707271"/>
            </a:solidFill>
            <a:ln>
              <a:solidFill>
                <a:srgbClr val="FFFFFF"/>
              </a:solidFill>
            </a:ln>
          </c:spPr>
          <c:invertIfNegative val="0"/>
          <c:cat>
            <c:strRef>
              <c:f>'South West beamers u250kW'!$C$161:$E$161</c:f>
              <c:strCache>
                <c:ptCount val="3"/>
                <c:pt idx="0">
                  <c:v>Most
profitable
quartile</c:v>
                </c:pt>
                <c:pt idx="1">
                  <c:v>Middle 
two quartiles</c:v>
                </c:pt>
                <c:pt idx="2">
                  <c:v>Least
profitable
quartile</c:v>
                </c:pt>
              </c:strCache>
            </c:strRef>
          </c:cat>
          <c:val>
            <c:numRef>
              <c:f>'South West beamers u250kW'!$C$168:$E$168</c:f>
              <c:numCache>
                <c:formatCode>0%</c:formatCode>
                <c:ptCount val="3"/>
                <c:pt idx="0">
                  <c:v>6.2496984522389977E-2</c:v>
                </c:pt>
                <c:pt idx="1">
                  <c:v>0</c:v>
                </c:pt>
                <c:pt idx="2">
                  <c:v>0</c:v>
                </c:pt>
              </c:numCache>
            </c:numRef>
          </c:val>
          <c:extLst>
            <c:ext xmlns:c16="http://schemas.microsoft.com/office/drawing/2014/chart" uri="{C3380CC4-5D6E-409C-BE32-E72D297353CC}">
              <c16:uniqueId val="{00000006-05FD-4EF6-8318-7AB43BFB17F6}"/>
            </c:ext>
          </c:extLst>
        </c:ser>
        <c:ser>
          <c:idx val="7"/>
          <c:order val="7"/>
          <c:tx>
            <c:strRef>
              <c:f>'South West beamers u250kW'!$B$169</c:f>
              <c:strCache>
                <c:ptCount val="1"/>
                <c:pt idx="0">
                  <c:v>Others</c:v>
                </c:pt>
              </c:strCache>
            </c:strRef>
          </c:tx>
          <c:spPr>
            <a:solidFill>
              <a:srgbClr val="55585A"/>
            </a:solidFill>
            <a:ln>
              <a:solidFill>
                <a:srgbClr val="FFFFFF"/>
              </a:solidFill>
            </a:ln>
          </c:spPr>
          <c:invertIfNegative val="0"/>
          <c:cat>
            <c:strRef>
              <c:f>'South West beamers u250kW'!$C$161:$E$161</c:f>
              <c:strCache>
                <c:ptCount val="3"/>
                <c:pt idx="0">
                  <c:v>Most
profitable
quartile</c:v>
                </c:pt>
                <c:pt idx="1">
                  <c:v>Middle 
two quartiles</c:v>
                </c:pt>
                <c:pt idx="2">
                  <c:v>Least
profitable
quartile</c:v>
                </c:pt>
              </c:strCache>
            </c:strRef>
          </c:cat>
          <c:val>
            <c:numRef>
              <c:f>'South West beamers u250kW'!$C$169:$E$169</c:f>
              <c:numCache>
                <c:formatCode>0%</c:formatCode>
                <c:ptCount val="3"/>
                <c:pt idx="0">
                  <c:v>0.32253996461113299</c:v>
                </c:pt>
                <c:pt idx="1">
                  <c:v>0.23337832662083913</c:v>
                </c:pt>
                <c:pt idx="2">
                  <c:v>0.23499158847043555</c:v>
                </c:pt>
              </c:numCache>
            </c:numRef>
          </c:val>
          <c:extLst>
            <c:ext xmlns:c16="http://schemas.microsoft.com/office/drawing/2014/chart" uri="{C3380CC4-5D6E-409C-BE32-E72D297353CC}">
              <c16:uniqueId val="{00000007-05FD-4EF6-8318-7AB43BFB17F6}"/>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'South West beamers u250kW'!$H$162</c:f>
              <c:strCache>
                <c:ptCount val="1"/>
                <c:pt idx="0">
                  <c:v>Sole</c:v>
                </c:pt>
              </c:strCache>
            </c:strRef>
          </c:tx>
          <c:spPr>
            <a:solidFill>
              <a:srgbClr val="2273B9"/>
            </a:solidFill>
            <a:ln>
              <a:solidFill>
                <a:srgbClr val="FFFFFF"/>
              </a:solidFill>
            </a:ln>
          </c:spPr>
          <c:invertIfNegative val="0"/>
          <c:cat>
            <c:strRef>
              <c:f>'South West beamers u250kW'!$I$161:$K$161</c:f>
              <c:strCache>
                <c:ptCount val="3"/>
                <c:pt idx="0">
                  <c:v>Most
profitable
quartile</c:v>
                </c:pt>
                <c:pt idx="1">
                  <c:v>Middle 
two quartiles</c:v>
                </c:pt>
                <c:pt idx="2">
                  <c:v>Least
profitable
quartile</c:v>
                </c:pt>
              </c:strCache>
            </c:strRef>
          </c:cat>
          <c:val>
            <c:numRef>
              <c:f>'South West beamers u250kW'!$I$162:$K$162</c:f>
              <c:numCache>
                <c:formatCode>0%</c:formatCode>
                <c:ptCount val="3"/>
                <c:pt idx="0">
                  <c:v>0.34472406723123078</c:v>
                </c:pt>
                <c:pt idx="1">
                  <c:v>0.40287664733857015</c:v>
                </c:pt>
                <c:pt idx="2">
                  <c:v>0.26390286770301036</c:v>
                </c:pt>
              </c:numCache>
            </c:numRef>
          </c:val>
          <c:extLst>
            <c:ext xmlns:c16="http://schemas.microsoft.com/office/drawing/2014/chart" uri="{C3380CC4-5D6E-409C-BE32-E72D297353CC}">
              <c16:uniqueId val="{00000000-6A08-4A09-A8BD-4B8F1CBB241C}"/>
            </c:ext>
          </c:extLst>
        </c:ser>
        <c:ser>
          <c:idx val="1"/>
          <c:order val="1"/>
          <c:tx>
            <c:strRef>
              <c:f>'South West beamers u250kW'!$H$163</c:f>
              <c:strCache>
                <c:ptCount val="1"/>
                <c:pt idx="0">
                  <c:v>Cuttlefish</c:v>
                </c:pt>
              </c:strCache>
            </c:strRef>
          </c:tx>
          <c:spPr>
            <a:solidFill>
              <a:srgbClr val="E87308"/>
            </a:solidFill>
            <a:ln>
              <a:solidFill>
                <a:srgbClr val="FFFFFF"/>
              </a:solidFill>
            </a:ln>
          </c:spPr>
          <c:invertIfNegative val="0"/>
          <c:cat>
            <c:strRef>
              <c:f>'South West beamers u250kW'!$I$161:$K$161</c:f>
              <c:strCache>
                <c:ptCount val="3"/>
                <c:pt idx="0">
                  <c:v>Most
profitable
quartile</c:v>
                </c:pt>
                <c:pt idx="1">
                  <c:v>Middle 
two quartiles</c:v>
                </c:pt>
                <c:pt idx="2">
                  <c:v>Least
profitable
quartile</c:v>
                </c:pt>
              </c:strCache>
            </c:strRef>
          </c:cat>
          <c:val>
            <c:numRef>
              <c:f>'South West beamers u250kW'!$I$163:$K$163</c:f>
              <c:numCache>
                <c:formatCode>0%</c:formatCode>
                <c:ptCount val="3"/>
                <c:pt idx="0">
                  <c:v>0.20244478721000272</c:v>
                </c:pt>
                <c:pt idx="1">
                  <c:v>0.19308617858706886</c:v>
                </c:pt>
                <c:pt idx="2">
                  <c:v>0.22218715754744975</c:v>
                </c:pt>
              </c:numCache>
            </c:numRef>
          </c:val>
          <c:extLst>
            <c:ext xmlns:c16="http://schemas.microsoft.com/office/drawing/2014/chart" uri="{C3380CC4-5D6E-409C-BE32-E72D297353CC}">
              <c16:uniqueId val="{00000001-6A08-4A09-A8BD-4B8F1CBB241C}"/>
            </c:ext>
          </c:extLst>
        </c:ser>
        <c:ser>
          <c:idx val="2"/>
          <c:order val="2"/>
          <c:tx>
            <c:strRef>
              <c:f>'South West beamers u250kW'!$H$164</c:f>
              <c:strCache>
                <c:ptCount val="1"/>
                <c:pt idx="0">
                  <c:v>Anglerfish</c:v>
                </c:pt>
              </c:strCache>
            </c:strRef>
          </c:tx>
          <c:spPr>
            <a:solidFill>
              <a:srgbClr val="648C2E"/>
            </a:solidFill>
            <a:ln>
              <a:solidFill>
                <a:srgbClr val="FFFFFF"/>
              </a:solidFill>
            </a:ln>
          </c:spPr>
          <c:invertIfNegative val="0"/>
          <c:cat>
            <c:strRef>
              <c:f>'South West beamers u250kW'!$I$161:$K$161</c:f>
              <c:strCache>
                <c:ptCount val="3"/>
                <c:pt idx="0">
                  <c:v>Most
profitable
quartile</c:v>
                </c:pt>
                <c:pt idx="1">
                  <c:v>Middle 
two quartiles</c:v>
                </c:pt>
                <c:pt idx="2">
                  <c:v>Least
profitable
quartile</c:v>
                </c:pt>
              </c:strCache>
            </c:strRef>
          </c:cat>
          <c:val>
            <c:numRef>
              <c:f>'South West beamers u250kW'!$I$164:$K$164</c:f>
              <c:numCache>
                <c:formatCode>0%</c:formatCode>
                <c:ptCount val="3"/>
                <c:pt idx="0">
                  <c:v>0.11335408530831013</c:v>
                </c:pt>
                <c:pt idx="1">
                  <c:v>9.9839228779467479E-2</c:v>
                </c:pt>
                <c:pt idx="2">
                  <c:v>7.7509279076777127E-2</c:v>
                </c:pt>
              </c:numCache>
            </c:numRef>
          </c:val>
          <c:extLst>
            <c:ext xmlns:c16="http://schemas.microsoft.com/office/drawing/2014/chart" uri="{C3380CC4-5D6E-409C-BE32-E72D297353CC}">
              <c16:uniqueId val="{00000002-6A08-4A09-A8BD-4B8F1CBB241C}"/>
            </c:ext>
          </c:extLst>
        </c:ser>
        <c:ser>
          <c:idx val="3"/>
          <c:order val="3"/>
          <c:tx>
            <c:strRef>
              <c:f>'South West beamers u250kW'!$H$165</c:f>
              <c:strCache>
                <c:ptCount val="1"/>
                <c:pt idx="0">
                  <c:v>Plaice</c:v>
                </c:pt>
              </c:strCache>
            </c:strRef>
          </c:tx>
          <c:spPr>
            <a:solidFill>
              <a:srgbClr val="C1D119"/>
            </a:solidFill>
            <a:ln>
              <a:solidFill>
                <a:srgbClr val="FFFFFF"/>
              </a:solidFill>
            </a:ln>
          </c:spPr>
          <c:invertIfNegative val="0"/>
          <c:cat>
            <c:strRef>
              <c:f>'South West beamers u250kW'!$I$161:$K$161</c:f>
              <c:strCache>
                <c:ptCount val="3"/>
                <c:pt idx="0">
                  <c:v>Most
profitable
quartile</c:v>
                </c:pt>
                <c:pt idx="1">
                  <c:v>Middle 
two quartiles</c:v>
                </c:pt>
                <c:pt idx="2">
                  <c:v>Least
profitable
quartile</c:v>
                </c:pt>
              </c:strCache>
            </c:strRef>
          </c:cat>
          <c:val>
            <c:numRef>
              <c:f>'South West beamers u250kW'!$I$165:$K$165</c:f>
              <c:numCache>
                <c:formatCode>0%</c:formatCode>
                <c:ptCount val="3"/>
                <c:pt idx="0">
                  <c:v>7.7577209924489715E-2</c:v>
                </c:pt>
                <c:pt idx="1">
                  <c:v>8.9360706876613627E-2</c:v>
                </c:pt>
                <c:pt idx="2">
                  <c:v>9.329813665896379E-2</c:v>
                </c:pt>
              </c:numCache>
            </c:numRef>
          </c:val>
          <c:extLst>
            <c:ext xmlns:c16="http://schemas.microsoft.com/office/drawing/2014/chart" uri="{C3380CC4-5D6E-409C-BE32-E72D297353CC}">
              <c16:uniqueId val="{00000003-6A08-4A09-A8BD-4B8F1CBB241C}"/>
            </c:ext>
          </c:extLst>
        </c:ser>
        <c:ser>
          <c:idx val="4"/>
          <c:order val="4"/>
          <c:tx>
            <c:strRef>
              <c:f>'South West beamers u250kW'!$H$166</c:f>
              <c:strCache>
                <c:ptCount val="1"/>
                <c:pt idx="0">
                  <c:v>Turbot</c:v>
                </c:pt>
              </c:strCache>
            </c:strRef>
          </c:tx>
          <c:spPr>
            <a:solidFill>
              <a:srgbClr val="E84A38"/>
            </a:solidFill>
            <a:ln>
              <a:solidFill>
                <a:srgbClr val="FFFFFF"/>
              </a:solidFill>
            </a:ln>
          </c:spPr>
          <c:invertIfNegative val="0"/>
          <c:cat>
            <c:strRef>
              <c:f>'South West beamers u250kW'!$I$161:$K$161</c:f>
              <c:strCache>
                <c:ptCount val="3"/>
                <c:pt idx="0">
                  <c:v>Most
profitable
quartile</c:v>
                </c:pt>
                <c:pt idx="1">
                  <c:v>Middle 
two quartiles</c:v>
                </c:pt>
                <c:pt idx="2">
                  <c:v>Least
profitable
quartile</c:v>
                </c:pt>
              </c:strCache>
            </c:strRef>
          </c:cat>
          <c:val>
            <c:numRef>
              <c:f>'South West beamers u250kW'!$I$166:$K$166</c:f>
              <c:numCache>
                <c:formatCode>0%</c:formatCode>
                <c:ptCount val="3"/>
                <c:pt idx="0">
                  <c:v>4.5637489517587997E-2</c:v>
                </c:pt>
                <c:pt idx="1">
                  <c:v>6.093090322008364E-2</c:v>
                </c:pt>
                <c:pt idx="2">
                  <c:v>0</c:v>
                </c:pt>
              </c:numCache>
            </c:numRef>
          </c:val>
          <c:extLst>
            <c:ext xmlns:c16="http://schemas.microsoft.com/office/drawing/2014/chart" uri="{C3380CC4-5D6E-409C-BE32-E72D297353CC}">
              <c16:uniqueId val="{00000004-6A08-4A09-A8BD-4B8F1CBB241C}"/>
            </c:ext>
          </c:extLst>
        </c:ser>
        <c:ser>
          <c:idx val="5"/>
          <c:order val="5"/>
          <c:tx>
            <c:strRef>
              <c:f>'South West beamers u250kW'!$H$167</c:f>
              <c:strCache>
                <c:ptCount val="1"/>
                <c:pt idx="0">
                  <c:v>Scallops</c:v>
                </c:pt>
              </c:strCache>
            </c:strRef>
          </c:tx>
          <c:spPr>
            <a:solidFill>
              <a:srgbClr val="0F9AA9"/>
            </a:solidFill>
            <a:ln>
              <a:solidFill>
                <a:srgbClr val="FFFFFF"/>
              </a:solidFill>
            </a:ln>
          </c:spPr>
          <c:invertIfNegative val="0"/>
          <c:cat>
            <c:strRef>
              <c:f>'South West beamers u250kW'!$I$161:$K$161</c:f>
              <c:strCache>
                <c:ptCount val="3"/>
                <c:pt idx="0">
                  <c:v>Most
profitable
quartile</c:v>
                </c:pt>
                <c:pt idx="1">
                  <c:v>Middle 
two quartiles</c:v>
                </c:pt>
                <c:pt idx="2">
                  <c:v>Least
profitable
quartile</c:v>
                </c:pt>
              </c:strCache>
            </c:strRef>
          </c:cat>
          <c:val>
            <c:numRef>
              <c:f>'South West beamers u250kW'!$I$167:$K$167</c:f>
              <c:numCache>
                <c:formatCode>0%</c:formatCode>
                <c:ptCount val="3"/>
                <c:pt idx="0">
                  <c:v>0</c:v>
                </c:pt>
                <c:pt idx="1">
                  <c:v>0</c:v>
                </c:pt>
                <c:pt idx="2">
                  <c:v>0.13387121262569737</c:v>
                </c:pt>
              </c:numCache>
            </c:numRef>
          </c:val>
          <c:extLst>
            <c:ext xmlns:c16="http://schemas.microsoft.com/office/drawing/2014/chart" uri="{C3380CC4-5D6E-409C-BE32-E72D297353CC}">
              <c16:uniqueId val="{00000005-6A08-4A09-A8BD-4B8F1CBB241C}"/>
            </c:ext>
          </c:extLst>
        </c:ser>
        <c:ser>
          <c:idx val="6"/>
          <c:order val="6"/>
          <c:tx>
            <c:strRef>
              <c:f>'South West beamers u250kW'!$H$168</c:f>
              <c:strCache>
                <c:ptCount val="1"/>
                <c:pt idx="0">
                  <c:v>Others</c:v>
                </c:pt>
              </c:strCache>
            </c:strRef>
          </c:tx>
          <c:spPr>
            <a:solidFill>
              <a:srgbClr val="55585A"/>
            </a:solidFill>
            <a:ln>
              <a:solidFill>
                <a:srgbClr val="FFFFFF"/>
              </a:solidFill>
            </a:ln>
          </c:spPr>
          <c:invertIfNegative val="0"/>
          <c:cat>
            <c:strRef>
              <c:f>'South West beamers u250kW'!$I$161:$K$161</c:f>
              <c:strCache>
                <c:ptCount val="3"/>
                <c:pt idx="0">
                  <c:v>Most
profitable
quartile</c:v>
                </c:pt>
                <c:pt idx="1">
                  <c:v>Middle 
two quartiles</c:v>
                </c:pt>
                <c:pt idx="2">
                  <c:v>Least
profitable
quartile</c:v>
                </c:pt>
              </c:strCache>
            </c:strRef>
          </c:cat>
          <c:val>
            <c:numRef>
              <c:f>'South West beamers u250kW'!$I$168:$K$168</c:f>
              <c:numCache>
                <c:formatCode>0%</c:formatCode>
                <c:ptCount val="3"/>
                <c:pt idx="0">
                  <c:v>0.21626236080837868</c:v>
                </c:pt>
                <c:pt idx="1">
                  <c:v>0.1539063351981963</c:v>
                </c:pt>
                <c:pt idx="2">
                  <c:v>0.2092313463881017</c:v>
                </c:pt>
              </c:numCache>
            </c:numRef>
          </c:val>
          <c:extLst>
            <c:ext xmlns:c16="http://schemas.microsoft.com/office/drawing/2014/chart" uri="{C3380CC4-5D6E-409C-BE32-E72D297353CC}">
              <c16:uniqueId val="{00000006-6A08-4A09-A8BD-4B8F1CBB241C}"/>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'South West beamers u250kW'!$K$139</c:f>
              <c:strCache>
                <c:ptCount val="1"/>
                <c:pt idx="0">
                  <c:v>Total income</c:v>
                </c:pt>
              </c:strCache>
            </c:strRef>
          </c:tx>
          <c:spPr>
            <a:solidFill>
              <a:srgbClr val="087CBB"/>
            </a:solidFill>
            <a:ln>
              <a:solidFill>
                <a:schemeClr val="accent1"/>
              </a:solidFill>
            </a:ln>
          </c:spPr>
          <c:invertIfNegative val="0"/>
          <c:cat>
            <c:strRef>
              <c:f>'South West beamers u250kW'!$L$138:$N$138</c:f>
              <c:strCache>
                <c:ptCount val="3"/>
                <c:pt idx="0">
                  <c:v>Most
profitable
quartile</c:v>
                </c:pt>
                <c:pt idx="1">
                  <c:v>Middle
two quartiles</c:v>
                </c:pt>
                <c:pt idx="2">
                  <c:v>Least
profitable
quartile</c:v>
                </c:pt>
              </c:strCache>
            </c:strRef>
          </c:cat>
          <c:val>
            <c:numRef>
              <c:f>'South West beamers u250kW'!$L$139:$N$139</c:f>
              <c:numCache>
                <c:formatCode>#,##0</c:formatCode>
                <c:ptCount val="3"/>
                <c:pt idx="0">
                  <c:v>1008.92875</c:v>
                </c:pt>
                <c:pt idx="1">
                  <c:v>762.885625</c:v>
                </c:pt>
                <c:pt idx="2">
                  <c:v>455.42987499999998</c:v>
                </c:pt>
              </c:numCache>
            </c:numRef>
          </c:val>
          <c:extLst>
            <c:ext xmlns:c16="http://schemas.microsoft.com/office/drawing/2014/chart" uri="{C3380CC4-5D6E-409C-BE32-E72D297353CC}">
              <c16:uniqueId val="{00000000-3F96-48E4-97AA-40A9230A249C}"/>
            </c:ext>
          </c:extLst>
        </c:ser>
        <c:ser>
          <c:idx val="1"/>
          <c:order val="1"/>
          <c:tx>
            <c:strRef>
              <c:f>'South West beamers u250kW'!$K$140</c:f>
              <c:strCache>
                <c:ptCount val="1"/>
                <c:pt idx="0">
                  <c:v>Operating costs</c:v>
                </c:pt>
              </c:strCache>
            </c:strRef>
          </c:tx>
          <c:spPr>
            <a:solidFill>
              <a:srgbClr val="E87308"/>
            </a:solidFill>
          </c:spPr>
          <c:invertIfNegative val="0"/>
          <c:cat>
            <c:strRef>
              <c:f>'South West beamers u250kW'!$L$138:$N$138</c:f>
              <c:strCache>
                <c:ptCount val="3"/>
                <c:pt idx="0">
                  <c:v>Most
profitable
quartile</c:v>
                </c:pt>
                <c:pt idx="1">
                  <c:v>Middle
two quartiles</c:v>
                </c:pt>
                <c:pt idx="2">
                  <c:v>Least
profitable
quartile</c:v>
                </c:pt>
              </c:strCache>
            </c:strRef>
          </c:cat>
          <c:val>
            <c:numRef>
              <c:f>'South West beamers u250kW'!$L$140:$N$140</c:f>
              <c:numCache>
                <c:formatCode>#,##0</c:formatCode>
                <c:ptCount val="3"/>
                <c:pt idx="0">
                  <c:v>742.08118750000006</c:v>
                </c:pt>
                <c:pt idx="1">
                  <c:v>586.16018750000001</c:v>
                </c:pt>
                <c:pt idx="2">
                  <c:v>372.27540625</c:v>
                </c:pt>
              </c:numCache>
            </c:numRef>
          </c:val>
          <c:extLst>
            <c:ext xmlns:c16="http://schemas.microsoft.com/office/drawing/2014/chart" uri="{C3380CC4-5D6E-409C-BE32-E72D297353CC}">
              <c16:uniqueId val="{00000001-3F96-48E4-97AA-40A9230A249C}"/>
            </c:ext>
          </c:extLst>
        </c:ser>
        <c:ser>
          <c:idx val="2"/>
          <c:order val="2"/>
          <c:tx>
            <c:strRef>
              <c:f>'South West beamers u250kW'!$K$141</c:f>
              <c:strCache>
                <c:ptCount val="1"/>
                <c:pt idx="0">
                  <c:v>Operating profit</c:v>
                </c:pt>
              </c:strCache>
            </c:strRef>
          </c:tx>
          <c:spPr>
            <a:solidFill>
              <a:srgbClr val="51AA81"/>
            </a:solidFill>
          </c:spPr>
          <c:invertIfNegative val="0"/>
          <c:cat>
            <c:strRef>
              <c:f>'South West beamers u250kW'!$L$138:$N$138</c:f>
              <c:strCache>
                <c:ptCount val="3"/>
                <c:pt idx="0">
                  <c:v>Most
profitable
quartile</c:v>
                </c:pt>
                <c:pt idx="1">
                  <c:v>Middle
two quartiles</c:v>
                </c:pt>
                <c:pt idx="2">
                  <c:v>Least
profitable
quartile</c:v>
                </c:pt>
              </c:strCache>
            </c:strRef>
          </c:cat>
          <c:val>
            <c:numRef>
              <c:f>'South West beamers u250kW'!$L$141:$N$141</c:f>
              <c:numCache>
                <c:formatCode>#,##0</c:formatCode>
                <c:ptCount val="3"/>
                <c:pt idx="0">
                  <c:v>266.84756249999998</c:v>
                </c:pt>
                <c:pt idx="1">
                  <c:v>176.7254375</c:v>
                </c:pt>
                <c:pt idx="2">
                  <c:v>83.154468750000007</c:v>
                </c:pt>
              </c:numCache>
            </c:numRef>
          </c:val>
          <c:extLst>
            <c:ext xmlns:c16="http://schemas.microsoft.com/office/drawing/2014/chart" uri="{C3380CC4-5D6E-409C-BE32-E72D297353CC}">
              <c16:uniqueId val="{00000002-3F96-48E4-97AA-40A9230A249C}"/>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'South West beamers u250kW'!$K$142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15m'!$A$48</c:f>
          <c:strCache>
            <c:ptCount val="1"/>
            <c:pt idx="0">
              <c:v>Landings per kW day at sea (kg)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8AB8-47F7-99A4-3AF55AC5E941}"/>
              </c:ext>
            </c:extLst>
          </c:dPt>
          <c:dPt>
            <c:idx val="10"/>
            <c:bubble3D val="0"/>
            <c:spPr>
              <a:ln w="57150">
                <a:solidFill>
                  <a:srgbClr val="2273B9"/>
                </a:solidFill>
                <a:prstDash val="sysDot"/>
              </a:ln>
            </c:spPr>
            <c:extLst>
              <c:ext xmlns:c16="http://schemas.microsoft.com/office/drawing/2014/chart" uri="{C3380CC4-5D6E-409C-BE32-E72D297353CC}">
                <c16:uniqueId val="{00000003-8AB8-47F7-99A4-3AF55AC5E941}"/>
              </c:ext>
            </c:extLst>
          </c:dPt>
          <c:cat>
            <c:numRef>
              <c:f>'UK scallop dredge over 15m'!$D$2:$N$2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'UK scallop dredge over 15m'!$D$21:$N$21</c:f>
              <c:numCache>
                <c:formatCode>#,##0.00</c:formatCode>
                <c:ptCount val="11"/>
                <c:pt idx="0">
                  <c:v>4.9915414349255292</c:v>
                </c:pt>
                <c:pt idx="1">
                  <c:v>7.7312373805038961</c:v>
                </c:pt>
                <c:pt idx="2">
                  <c:v>7.7030880411259215</c:v>
                </c:pt>
                <c:pt idx="3">
                  <c:v>5.2875592330166423</c:v>
                </c:pt>
                <c:pt idx="4">
                  <c:v>4.0658175216277659</c:v>
                </c:pt>
                <c:pt idx="5">
                  <c:v>4.2058223622219728</c:v>
                </c:pt>
                <c:pt idx="6">
                  <c:v>3.8946911967839917</c:v>
                </c:pt>
                <c:pt idx="7">
                  <c:v>3.4236551076523414</c:v>
                </c:pt>
                <c:pt idx="8">
                  <c:v>3.1714567045723761</c:v>
                </c:pt>
                <c:pt idx="9">
                  <c:v>3.5218869500811403</c:v>
                </c:pt>
                <c:pt idx="10">
                  <c:v>4.1629387955305193</c:v>
                </c:pt>
              </c:numCache>
            </c:numRef>
          </c:val>
          <c:smooth val="0"/>
          <c:extLst>
            <c:ext xmlns:c16="http://schemas.microsoft.com/office/drawing/2014/chart" uri="{C3380CC4-5D6E-409C-BE32-E72D297353CC}">
              <c16:uniqueId val="{00000004-8AB8-47F7-99A4-3AF55AC5E941}"/>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15m'!$A$49</c:f>
          <c:strCache>
            <c:ptCount val="1"/>
            <c:pt idx="0">
              <c:v>Fishing income per kW day at sea (£)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B509-4445-95A3-1039FBA420CB}"/>
              </c:ext>
            </c:extLst>
          </c:dPt>
          <c:dPt>
            <c:idx val="10"/>
            <c:bubble3D val="0"/>
            <c:spPr>
              <a:ln w="57150">
                <a:solidFill>
                  <a:srgbClr val="648C2E"/>
                </a:solidFill>
                <a:prstDash val="sysDot"/>
              </a:ln>
            </c:spPr>
            <c:extLst>
              <c:ext xmlns:c16="http://schemas.microsoft.com/office/drawing/2014/chart" uri="{C3380CC4-5D6E-409C-BE32-E72D297353CC}">
                <c16:uniqueId val="{00000003-B509-4445-95A3-1039FBA420CB}"/>
              </c:ext>
            </c:extLst>
          </c:dPt>
          <c:cat>
            <c:numRef>
              <c:f>'UK scallop dredge over 15m'!$D$2:$N$2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'UK scallop dredge over 15m'!$D$22:$N$22</c:f>
              <c:numCache>
                <c:formatCode>#,##0.00</c:formatCode>
                <c:ptCount val="11"/>
                <c:pt idx="0">
                  <c:v>8.2342007676540305</c:v>
                </c:pt>
                <c:pt idx="1">
                  <c:v>9.3654167366480401</c:v>
                </c:pt>
                <c:pt idx="2">
                  <c:v>8.8230766443039403</c:v>
                </c:pt>
                <c:pt idx="3">
                  <c:v>7.40136351810325</c:v>
                </c:pt>
                <c:pt idx="4">
                  <c:v>6.9135197145349601</c:v>
                </c:pt>
                <c:pt idx="5">
                  <c:v>7.0661357080078204</c:v>
                </c:pt>
                <c:pt idx="6">
                  <c:v>7.8785386136561</c:v>
                </c:pt>
                <c:pt idx="7">
                  <c:v>8.2359356656574008</c:v>
                </c:pt>
                <c:pt idx="8">
                  <c:v>8.0446581768543393</c:v>
                </c:pt>
                <c:pt idx="9">
                  <c:v>7.5232671692117199</c:v>
                </c:pt>
                <c:pt idx="10">
                  <c:v>6.7939151245633971</c:v>
                </c:pt>
              </c:numCache>
            </c:numRef>
          </c:val>
          <c:smooth val="0"/>
          <c:extLst>
            <c:ext xmlns:c16="http://schemas.microsoft.com/office/drawing/2014/chart" uri="{C3380CC4-5D6E-409C-BE32-E72D297353CC}">
              <c16:uniqueId val="{00000004-B509-4445-95A3-1039FBA420CB}"/>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15m'!$B$62</c:f>
          <c:strCache>
            <c:ptCount val="1"/>
            <c:pt idx="0">
              <c:v>Total cost per kW day at sea (£)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3E9A-442A-9155-FEDA2F77471B}"/>
              </c:ext>
            </c:extLst>
          </c:dPt>
          <c:dPt>
            <c:idx val="10"/>
            <c:bubble3D val="0"/>
            <c:spPr>
              <a:ln w="57150">
                <a:solidFill>
                  <a:srgbClr val="087CBB"/>
                </a:solidFill>
                <a:prstDash val="sysDot"/>
              </a:ln>
            </c:spPr>
            <c:extLst>
              <c:ext xmlns:c16="http://schemas.microsoft.com/office/drawing/2014/chart" uri="{C3380CC4-5D6E-409C-BE32-E72D297353CC}">
                <c16:uniqueId val="{00000003-3E9A-442A-9155-FEDA2F77471B}"/>
              </c:ext>
            </c:extLst>
          </c:dPt>
          <c:cat>
            <c:numRef>
              <c:f>'UK scallop dredge over 15m'!$D$2:$N$2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'UK scallop dredge over 15m'!$D$23:$N$23</c:f>
              <c:numCache>
                <c:formatCode>#,##0.00</c:formatCode>
                <c:ptCount val="11"/>
                <c:pt idx="0">
                  <c:v>6.4337694148675899</c:v>
                </c:pt>
                <c:pt idx="1">
                  <c:v>7.1921396641259703</c:v>
                </c:pt>
                <c:pt idx="2">
                  <c:v>7.0016587595692501</c:v>
                </c:pt>
                <c:pt idx="3">
                  <c:v>6.1510836345637898</c:v>
                </c:pt>
                <c:pt idx="4">
                  <c:v>5.8844148981357298</c:v>
                </c:pt>
                <c:pt idx="5">
                  <c:v>5.8195782594012604</c:v>
                </c:pt>
                <c:pt idx="6">
                  <c:v>6.8798170861527401</c:v>
                </c:pt>
                <c:pt idx="7">
                  <c:v>6.8953516952274496</c:v>
                </c:pt>
                <c:pt idx="8">
                  <c:v>7.9738142472091802</c:v>
                </c:pt>
                <c:pt idx="9">
                  <c:v>6.58447232657341</c:v>
                </c:pt>
                <c:pt idx="10">
                  <c:v>6.5413375307886028</c:v>
                </c:pt>
              </c:numCache>
            </c:numRef>
          </c:val>
          <c:smooth val="0"/>
          <c:extLst>
            <c:ext xmlns:c16="http://schemas.microsoft.com/office/drawing/2014/chart" uri="{C3380CC4-5D6E-409C-BE32-E72D297353CC}">
              <c16:uniqueId val="{00000004-3E9A-442A-9155-FEDA2F77471B}"/>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u250kW'!$K$48</c:f>
          <c:strCache>
            <c:ptCount val="1"/>
            <c:pt idx="0">
              <c:v>Operating profit per kW day at sea (£)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97DB-423E-8538-CE32BF56BE6A}"/>
              </c:ext>
            </c:extLst>
          </c:dPt>
          <c:dPt>
            <c:idx val="10"/>
            <c:bubble3D val="0"/>
            <c:spPr>
              <a:ln w="57150">
                <a:solidFill>
                  <a:schemeClr val="accent3"/>
                </a:solidFill>
                <a:prstDash val="sysDot"/>
              </a:ln>
            </c:spPr>
            <c:extLst>
              <c:ext xmlns:c16="http://schemas.microsoft.com/office/drawing/2014/chart" uri="{C3380CC4-5D6E-409C-BE32-E72D297353CC}">
                <c16:uniqueId val="{00000003-97DB-423E-8538-CE32BF56BE6A}"/>
              </c:ext>
            </c:extLst>
          </c:dPt>
          <c:cat>
            <c:numRef>
              <c:f>'Area VIIa nephrops u250kW'!$D$2:$N$2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'Area VIIa nephrops u250kW'!$D$24:$N$24</c:f>
              <c:numCache>
                <c:formatCode>#,##0.00</c:formatCode>
                <c:ptCount val="11"/>
                <c:pt idx="0">
                  <c:v>0.99322034516205904</c:v>
                </c:pt>
                <c:pt idx="1">
                  <c:v>1.89777524306511</c:v>
                </c:pt>
                <c:pt idx="2">
                  <c:v>1.8960392439148299</c:v>
                </c:pt>
                <c:pt idx="3">
                  <c:v>1.4049438598873101</c:v>
                </c:pt>
                <c:pt idx="4">
                  <c:v>1.0499183853409499</c:v>
                </c:pt>
                <c:pt idx="5">
                  <c:v>1.51126647175666</c:v>
                </c:pt>
                <c:pt idx="6">
                  <c:v>1.7137856131506499</c:v>
                </c:pt>
                <c:pt idx="7">
                  <c:v>2.1348940190909298</c:v>
                </c:pt>
                <c:pt idx="8">
                  <c:v>1.53356239333556</c:v>
                </c:pt>
                <c:pt idx="9">
                  <c:v>1.3945916018039599</c:v>
                </c:pt>
                <c:pt idx="10">
                  <c:v>1.3089558489036452</c:v>
                </c:pt>
              </c:numCache>
            </c:numRef>
          </c:val>
          <c:smooth val="0"/>
          <c:extLst>
            <c:ext xmlns:c16="http://schemas.microsoft.com/office/drawing/2014/chart" uri="{C3380CC4-5D6E-409C-BE32-E72D297353CC}">
              <c16:uniqueId val="{00000004-97DB-423E-8538-CE32BF56BE6A}"/>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15m'!$K$48</c:f>
          <c:strCache>
            <c:ptCount val="1"/>
            <c:pt idx="0">
              <c:v>Operating profit per kW day at sea (£)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4050-416F-9CA5-6E2B8FD73581}"/>
              </c:ext>
            </c:extLst>
          </c:dPt>
          <c:dPt>
            <c:idx val="10"/>
            <c:bubble3D val="0"/>
            <c:spPr>
              <a:ln w="57150">
                <a:solidFill>
                  <a:schemeClr val="accent3"/>
                </a:solidFill>
                <a:prstDash val="sysDot"/>
              </a:ln>
            </c:spPr>
            <c:extLst>
              <c:ext xmlns:c16="http://schemas.microsoft.com/office/drawing/2014/chart" uri="{C3380CC4-5D6E-409C-BE32-E72D297353CC}">
                <c16:uniqueId val="{00000003-4050-416F-9CA5-6E2B8FD73581}"/>
              </c:ext>
            </c:extLst>
          </c:dPt>
          <c:cat>
            <c:numRef>
              <c:f>'UK scallop dredge over 15m'!$D$2:$N$2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'UK scallop dredge over 15m'!$D$24:$N$24</c:f>
              <c:numCache>
                <c:formatCode>#,##0.00</c:formatCode>
                <c:ptCount val="11"/>
                <c:pt idx="0">
                  <c:v>2.1800754210519799</c:v>
                </c:pt>
                <c:pt idx="1">
                  <c:v>2.2747367929829498</c:v>
                </c:pt>
                <c:pt idx="2">
                  <c:v>1.96756725179728</c:v>
                </c:pt>
                <c:pt idx="3">
                  <c:v>1.3241437304538499</c:v>
                </c:pt>
                <c:pt idx="4">
                  <c:v>1.09355240277656</c:v>
                </c:pt>
                <c:pt idx="5">
                  <c:v>1.36169291125091</c:v>
                </c:pt>
                <c:pt idx="6">
                  <c:v>1.0340388752490299</c:v>
                </c:pt>
                <c:pt idx="7">
                  <c:v>1.6594198064782</c:v>
                </c:pt>
                <c:pt idx="8">
                  <c:v>0.25063651941169102</c:v>
                </c:pt>
                <c:pt idx="9">
                  <c:v>1.1797307900071901</c:v>
                </c:pt>
                <c:pt idx="10">
                  <c:v>0.6395568606846026</c:v>
                </c:pt>
              </c:numCache>
            </c:numRef>
          </c:val>
          <c:smooth val="0"/>
          <c:extLst>
            <c:ext xmlns:c16="http://schemas.microsoft.com/office/drawing/2014/chart" uri="{C3380CC4-5D6E-409C-BE32-E72D297353CC}">
              <c16:uniqueId val="{00000004-4050-416F-9CA5-6E2B8FD73581}"/>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15m'!$A$50</c:f>
          <c:strCache>
            <c:ptCount val="1"/>
            <c:pt idx="0">
              <c:v>Average price per tonne landed (£)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4610-4327-B10A-09E6494C3976}"/>
              </c:ext>
            </c:extLst>
          </c:dPt>
          <c:dPt>
            <c:idx val="10"/>
            <c:bubble3D val="0"/>
            <c:spPr>
              <a:ln w="57150">
                <a:solidFill>
                  <a:schemeClr val="accent4"/>
                </a:solidFill>
                <a:prstDash val="sysDot"/>
              </a:ln>
            </c:spPr>
            <c:extLst>
              <c:ext xmlns:c16="http://schemas.microsoft.com/office/drawing/2014/chart" uri="{C3380CC4-5D6E-409C-BE32-E72D297353CC}">
                <c16:uniqueId val="{00000003-4610-4327-B10A-09E6494C3976}"/>
              </c:ext>
            </c:extLst>
          </c:dPt>
          <c:cat>
            <c:numRef>
              <c:f>'UK scallop dredge over 15m'!$D$2:$M$2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'UK scallop dredge over 15m'!$D$20:$N$20</c:f>
              <c:numCache>
                <c:formatCode>#,##0</c:formatCode>
                <c:ptCount val="11"/>
                <c:pt idx="0">
                  <c:v>1650</c:v>
                </c:pt>
                <c:pt idx="1">
                  <c:v>1211</c:v>
                </c:pt>
                <c:pt idx="2">
                  <c:v>1145</c:v>
                </c:pt>
                <c:pt idx="3">
                  <c:v>1400</c:v>
                </c:pt>
                <c:pt idx="4">
                  <c:v>1700</c:v>
                </c:pt>
                <c:pt idx="5">
                  <c:v>1680</c:v>
                </c:pt>
                <c:pt idx="6">
                  <c:v>2023</c:v>
                </c:pt>
                <c:pt idx="7">
                  <c:v>2406</c:v>
                </c:pt>
                <c:pt idx="8">
                  <c:v>2537</c:v>
                </c:pt>
                <c:pt idx="9">
                  <c:v>2136</c:v>
                </c:pt>
                <c:pt idx="10">
                  <c:v>1632</c:v>
                </c:pt>
              </c:numCache>
            </c:numRef>
          </c:val>
          <c:smooth val="0"/>
          <c:extLst>
            <c:ext xmlns:c16="http://schemas.microsoft.com/office/drawing/2014/chart" uri="{C3380CC4-5D6E-409C-BE32-E72D297353CC}">
              <c16:uniqueId val="{00000004-4610-4327-B10A-09E6494C3976}"/>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15m'!$K$62</c:f>
          <c:strCache>
            <c:ptCount val="1"/>
            <c:pt idx="0">
              <c:v>Average annual operating profit per vessel (£'000)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7D85-47A6-B3CF-AD3498D484C2}"/>
              </c:ext>
            </c:extLst>
          </c:dPt>
          <c:dPt>
            <c:idx val="10"/>
            <c:bubble3D val="0"/>
            <c:spPr>
              <a:ln w="57150">
                <a:solidFill>
                  <a:schemeClr val="accent5"/>
                </a:solidFill>
                <a:prstDash val="sysDot"/>
              </a:ln>
            </c:spPr>
            <c:extLst>
              <c:ext xmlns:c16="http://schemas.microsoft.com/office/drawing/2014/chart" uri="{C3380CC4-5D6E-409C-BE32-E72D297353CC}">
                <c16:uniqueId val="{00000003-7D85-47A6-B3CF-AD3498D484C2}"/>
              </c:ext>
            </c:extLst>
          </c:dPt>
          <c:cat>
            <c:numRef>
              <c:f>'UK scallop dredge over 15m'!$D$2:$M$2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'UK scallop dredge over 15m'!$D$37:$N$37</c:f>
              <c:numCache>
                <c:formatCode>#,##0.0</c:formatCode>
                <c:ptCount val="11"/>
                <c:pt idx="0">
                  <c:v>183.4</c:v>
                </c:pt>
                <c:pt idx="1">
                  <c:v>165.3</c:v>
                </c:pt>
                <c:pt idx="2">
                  <c:v>142.1</c:v>
                </c:pt>
                <c:pt idx="3">
                  <c:v>93.5</c:v>
                </c:pt>
                <c:pt idx="4">
                  <c:v>75.2</c:v>
                </c:pt>
                <c:pt idx="5">
                  <c:v>99.1</c:v>
                </c:pt>
                <c:pt idx="6">
                  <c:v>77</c:v>
                </c:pt>
                <c:pt idx="7">
                  <c:v>111.6</c:v>
                </c:pt>
                <c:pt idx="8">
                  <c:v>17.2</c:v>
                </c:pt>
                <c:pt idx="9">
                  <c:v>82.2</c:v>
                </c:pt>
                <c:pt idx="10">
                  <c:v>36.9</c:v>
                </c:pt>
              </c:numCache>
            </c:numRef>
          </c:val>
          <c:smooth val="0"/>
          <c:extLst>
            <c:ext xmlns:c16="http://schemas.microsoft.com/office/drawing/2014/chart" uri="{C3380CC4-5D6E-409C-BE32-E72D297353CC}">
              <c16:uniqueId val="{00000004-7D85-47A6-B3CF-AD3498D484C2}"/>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over 15m'!$A$76</c:f>
          <c:strCache>
            <c:ptCount val="1"/>
            <c:pt idx="0">
              <c:v>Top 5 landed species by volume in 2019
UK scallop dredge over 15m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3017-4B74-BC78-FE110BF610A7}"/>
              </c:ext>
            </c:extLst>
          </c:dPt>
          <c:dPt>
            <c:idx val="1"/>
            <c:bubble3D val="0"/>
            <c:spPr>
              <a:solidFill>
                <a:srgbClr val="E87308"/>
              </a:solidFill>
              <a:ln>
                <a:solidFill>
                  <a:srgbClr val="FFFFFF"/>
                </a:solidFill>
              </a:ln>
            </c:spPr>
            <c:extLst>
              <c:ext xmlns:c16="http://schemas.microsoft.com/office/drawing/2014/chart" uri="{C3380CC4-5D6E-409C-BE32-E72D297353CC}">
                <c16:uniqueId val="{00000003-3017-4B74-BC78-FE110BF610A7}"/>
              </c:ext>
            </c:extLst>
          </c:dPt>
          <c:dPt>
            <c:idx val="2"/>
            <c:bubble3D val="0"/>
            <c:spPr>
              <a:solidFill>
                <a:srgbClr val="648C2E"/>
              </a:solidFill>
              <a:ln>
                <a:solidFill>
                  <a:srgbClr val="FFFFFF"/>
                </a:solidFill>
              </a:ln>
            </c:spPr>
            <c:extLst>
              <c:ext xmlns:c16="http://schemas.microsoft.com/office/drawing/2014/chart" uri="{C3380CC4-5D6E-409C-BE32-E72D297353CC}">
                <c16:uniqueId val="{00000005-3017-4B74-BC78-FE110BF610A7}"/>
              </c:ext>
            </c:extLst>
          </c:dPt>
          <c:dPt>
            <c:idx val="3"/>
            <c:bubble3D val="0"/>
            <c:spPr>
              <a:solidFill>
                <a:srgbClr val="E84A38"/>
              </a:solidFill>
              <a:ln>
                <a:solidFill>
                  <a:srgbClr val="FFFFFF"/>
                </a:solidFill>
              </a:ln>
            </c:spPr>
            <c:extLst>
              <c:ext xmlns:c16="http://schemas.microsoft.com/office/drawing/2014/chart" uri="{C3380CC4-5D6E-409C-BE32-E72D297353CC}">
                <c16:uniqueId val="{00000007-3017-4B74-BC78-FE110BF610A7}"/>
              </c:ext>
            </c:extLst>
          </c:dPt>
          <c:dPt>
            <c:idx val="4"/>
            <c:bubble3D val="0"/>
            <c:spPr>
              <a:solidFill>
                <a:srgbClr val="C1D119"/>
              </a:solidFill>
              <a:ln>
                <a:solidFill>
                  <a:srgbClr val="FFFFFF"/>
                </a:solidFill>
              </a:ln>
            </c:spPr>
            <c:extLst>
              <c:ext xmlns:c16="http://schemas.microsoft.com/office/drawing/2014/chart" uri="{C3380CC4-5D6E-409C-BE32-E72D297353CC}">
                <c16:uniqueId val="{00000009-3017-4B74-BC78-FE110BF610A7}"/>
              </c:ext>
            </c:extLst>
          </c:dPt>
          <c:dPt>
            <c:idx val="5"/>
            <c:bubble3D val="0"/>
            <c:spPr>
              <a:solidFill>
                <a:srgbClr val="55585A"/>
              </a:solidFill>
              <a:ln>
                <a:solidFill>
                  <a:srgbClr val="FFFFFF"/>
                </a:solidFill>
              </a:ln>
            </c:spPr>
            <c:extLst>
              <c:ext xmlns:c16="http://schemas.microsoft.com/office/drawing/2014/chart" uri="{C3380CC4-5D6E-409C-BE32-E72D297353CC}">
                <c16:uniqueId val="{0000000B-3017-4B74-BC78-FE110BF610A7}"/>
              </c:ext>
            </c:extLst>
          </c:dPt>
          <c:cat>
            <c:strRef>
              <c:f>'UK scallop dredge over 15m'!$B$77:$B$82</c:f>
              <c:strCache>
                <c:ptCount val="6"/>
                <c:pt idx="0">
                  <c:v>Scallops - 81.7%</c:v>
                </c:pt>
                <c:pt idx="1">
                  <c:v>Queen Scallops - 16.8%</c:v>
                </c:pt>
                <c:pt idx="2">
                  <c:v>Nephrops - 0.4%</c:v>
                </c:pt>
                <c:pt idx="3">
                  <c:v>Anglerfish - 0.4%</c:v>
                </c:pt>
                <c:pt idx="4">
                  <c:v>Turbot - 0.1%</c:v>
                </c:pt>
                <c:pt idx="5">
                  <c:v>Others - 0.6%</c:v>
                </c:pt>
              </c:strCache>
            </c:strRef>
          </c:cat>
          <c:val>
            <c:numRef>
              <c:f>'UK scallop dredge over 15m'!$C$77:$C$82</c:f>
              <c:numCache>
                <c:formatCode>0.0%</c:formatCode>
                <c:ptCount val="6"/>
                <c:pt idx="0">
                  <c:v>0.81710172983305696</c:v>
                </c:pt>
                <c:pt idx="1">
                  <c:v>0.16779705021403132</c:v>
                </c:pt>
                <c:pt idx="2">
                  <c:v>4.349685096126911E-3</c:v>
                </c:pt>
                <c:pt idx="3">
                  <c:v>3.6986203174985649E-3</c:v>
                </c:pt>
                <c:pt idx="4">
                  <c:v>1.1999635397146264E-3</c:v>
                </c:pt>
                <c:pt idx="5">
                  <c:v>5.8529509995716156E-3</c:v>
                </c:pt>
              </c:numCache>
            </c:numRef>
          </c:val>
          <c:extLst>
            <c:ext xmlns:c16="http://schemas.microsoft.com/office/drawing/2014/chart" uri="{C3380CC4-5D6E-409C-BE32-E72D297353CC}">
              <c16:uniqueId val="{0000000C-3017-4B74-BC78-FE110BF610A7}"/>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over 15m'!$F$76</c:f>
          <c:strCache>
            <c:ptCount val="1"/>
            <c:pt idx="0">
              <c:v>Top 5 landed species by value in 2019
UK scallop dredge over 15m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76CD-4798-A210-B799A1CEA305}"/>
              </c:ext>
            </c:extLst>
          </c:dPt>
          <c:dPt>
            <c:idx val="1"/>
            <c:bubble3D val="0"/>
            <c:spPr>
              <a:solidFill>
                <a:srgbClr val="E87308"/>
              </a:solidFill>
              <a:ln>
                <a:solidFill>
                  <a:srgbClr val="FFFFFF"/>
                </a:solidFill>
              </a:ln>
            </c:spPr>
            <c:extLst>
              <c:ext xmlns:c16="http://schemas.microsoft.com/office/drawing/2014/chart" uri="{C3380CC4-5D6E-409C-BE32-E72D297353CC}">
                <c16:uniqueId val="{00000003-76CD-4798-A210-B799A1CEA305}"/>
              </c:ext>
            </c:extLst>
          </c:dPt>
          <c:dPt>
            <c:idx val="2"/>
            <c:bubble3D val="0"/>
            <c:spPr>
              <a:solidFill>
                <a:srgbClr val="648C2E"/>
              </a:solidFill>
              <a:ln>
                <a:solidFill>
                  <a:srgbClr val="FFFFFF"/>
                </a:solidFill>
              </a:ln>
            </c:spPr>
            <c:extLst>
              <c:ext xmlns:c16="http://schemas.microsoft.com/office/drawing/2014/chart" uri="{C3380CC4-5D6E-409C-BE32-E72D297353CC}">
                <c16:uniqueId val="{00000005-76CD-4798-A210-B799A1CEA305}"/>
              </c:ext>
            </c:extLst>
          </c:dPt>
          <c:dPt>
            <c:idx val="3"/>
            <c:bubble3D val="0"/>
            <c:spPr>
              <a:solidFill>
                <a:srgbClr val="C1D119"/>
              </a:solidFill>
              <a:ln>
                <a:solidFill>
                  <a:srgbClr val="FFFFFF"/>
                </a:solidFill>
              </a:ln>
            </c:spPr>
            <c:extLst>
              <c:ext xmlns:c16="http://schemas.microsoft.com/office/drawing/2014/chart" uri="{C3380CC4-5D6E-409C-BE32-E72D297353CC}">
                <c16:uniqueId val="{00000007-76CD-4798-A210-B799A1CEA305}"/>
              </c:ext>
            </c:extLst>
          </c:dPt>
          <c:dPt>
            <c:idx val="4"/>
            <c:bubble3D val="0"/>
            <c:spPr>
              <a:solidFill>
                <a:srgbClr val="E84A38"/>
              </a:solidFill>
              <a:ln>
                <a:solidFill>
                  <a:srgbClr val="FFFFFF"/>
                </a:solidFill>
              </a:ln>
            </c:spPr>
            <c:extLst>
              <c:ext xmlns:c16="http://schemas.microsoft.com/office/drawing/2014/chart" uri="{C3380CC4-5D6E-409C-BE32-E72D297353CC}">
                <c16:uniqueId val="{00000009-76CD-4798-A210-B799A1CEA305}"/>
              </c:ext>
            </c:extLst>
          </c:dPt>
          <c:dPt>
            <c:idx val="5"/>
            <c:bubble3D val="0"/>
            <c:spPr>
              <a:solidFill>
                <a:srgbClr val="55585A"/>
              </a:solidFill>
              <a:ln>
                <a:solidFill>
                  <a:srgbClr val="FFFFFF"/>
                </a:solidFill>
              </a:ln>
            </c:spPr>
            <c:extLst>
              <c:ext xmlns:c16="http://schemas.microsoft.com/office/drawing/2014/chart" uri="{C3380CC4-5D6E-409C-BE32-E72D297353CC}">
                <c16:uniqueId val="{0000000B-76CD-4798-A210-B799A1CEA305}"/>
              </c:ext>
            </c:extLst>
          </c:dPt>
          <c:cat>
            <c:strRef>
              <c:f>'UK scallop dredge over 15m'!$G$77:$G$82</c:f>
              <c:strCache>
                <c:ptCount val="6"/>
                <c:pt idx="0">
                  <c:v>Scallops - 89.2%</c:v>
                </c:pt>
                <c:pt idx="1">
                  <c:v>Queen Scallops - 8.4%</c:v>
                </c:pt>
                <c:pt idx="2">
                  <c:v>Nephrops - 0.5%</c:v>
                </c:pt>
                <c:pt idx="3">
                  <c:v>Turbot - 0.5%</c:v>
                </c:pt>
                <c:pt idx="4">
                  <c:v>Anglerfish - 0.5%</c:v>
                </c:pt>
                <c:pt idx="5">
                  <c:v>Others - 0.9%</c:v>
                </c:pt>
              </c:strCache>
            </c:strRef>
          </c:cat>
          <c:val>
            <c:numRef>
              <c:f>'UK scallop dredge over 15m'!$H$77:$H$82</c:f>
              <c:numCache>
                <c:formatCode>0.0%</c:formatCode>
                <c:ptCount val="6"/>
                <c:pt idx="0">
                  <c:v>0.89170108191788555</c:v>
                </c:pt>
                <c:pt idx="1">
                  <c:v>8.3690945709730749E-2</c:v>
                </c:pt>
                <c:pt idx="2">
                  <c:v>5.4782093149951675E-3</c:v>
                </c:pt>
                <c:pt idx="3">
                  <c:v>5.2357872141143447E-3</c:v>
                </c:pt>
                <c:pt idx="4">
                  <c:v>4.57361398111628E-3</c:v>
                </c:pt>
                <c:pt idx="5">
                  <c:v>9.3203618621577888E-3</c:v>
                </c:pt>
              </c:numCache>
            </c:numRef>
          </c:val>
          <c:extLst>
            <c:ext xmlns:c16="http://schemas.microsoft.com/office/drawing/2014/chart" uri="{C3380CC4-5D6E-409C-BE32-E72D297353CC}">
              <c16:uniqueId val="{0000000C-76CD-4798-A210-B799A1CEA305}"/>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over 15m'!$K$77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'UK scallop dredge over 15m'!$C$92</c:f>
              <c:strCache>
                <c:ptCount val="1"/>
                <c:pt idx="0">
                  <c:v>Scallops</c:v>
                </c:pt>
              </c:strCache>
            </c:strRef>
          </c:tx>
          <c:spPr>
            <a:solidFill>
              <a:srgbClr val="2273B9"/>
            </a:solidFill>
            <a:ln>
              <a:solidFill>
                <a:srgbClr val="FFFFFF"/>
              </a:solidFill>
            </a:ln>
          </c:spPr>
          <c:invertIfNegative val="0"/>
          <c:cat>
            <c:numRef>
              <c:f>'UK scallop dredge over 15m'!$D$91:$M$91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'UK scallop dredge over 15m'!$D$92:$M$92</c:f>
              <c:numCache>
                <c:formatCode>0%</c:formatCode>
                <c:ptCount val="10"/>
                <c:pt idx="0">
                  <c:v>0.77887038244899154</c:v>
                </c:pt>
                <c:pt idx="1">
                  <c:v>0.77831134522136958</c:v>
                </c:pt>
                <c:pt idx="2">
                  <c:v>0.79901777150529618</c:v>
                </c:pt>
                <c:pt idx="3">
                  <c:v>0.83114711652369411</c:v>
                </c:pt>
                <c:pt idx="4">
                  <c:v>0.79259469551252393</c:v>
                </c:pt>
                <c:pt idx="5">
                  <c:v>0.79583931858216594</c:v>
                </c:pt>
                <c:pt idx="6">
                  <c:v>0.88438025220765226</c:v>
                </c:pt>
                <c:pt idx="7">
                  <c:v>0.91241102815141917</c:v>
                </c:pt>
                <c:pt idx="8">
                  <c:v>0.89170108191788555</c:v>
                </c:pt>
                <c:pt idx="9">
                  <c:v>0.93274304638251315</c:v>
                </c:pt>
              </c:numCache>
            </c:numRef>
          </c:val>
          <c:extLst>
            <c:ext xmlns:c16="http://schemas.microsoft.com/office/drawing/2014/chart" uri="{C3380CC4-5D6E-409C-BE32-E72D297353CC}">
              <c16:uniqueId val="{00000000-926C-4049-9282-E85A37430C29}"/>
            </c:ext>
          </c:extLst>
        </c:ser>
        <c:ser>
          <c:idx val="1"/>
          <c:order val="1"/>
          <c:tx>
            <c:strRef>
              <c:f>'UK scallop dredge over 15m'!$C$93</c:f>
              <c:strCache>
                <c:ptCount val="1"/>
                <c:pt idx="0">
                  <c:v>Queen Scallops</c:v>
                </c:pt>
              </c:strCache>
            </c:strRef>
          </c:tx>
          <c:spPr>
            <a:solidFill>
              <a:srgbClr val="E87308"/>
            </a:solidFill>
            <a:ln>
              <a:solidFill>
                <a:srgbClr val="FFFFFF"/>
              </a:solidFill>
            </a:ln>
          </c:spPr>
          <c:invertIfNegative val="0"/>
          <c:cat>
            <c:numRef>
              <c:f>'UK scallop dredge over 15m'!$D$91:$M$91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'UK scallop dredge over 15m'!$D$93:$M$93</c:f>
              <c:numCache>
                <c:formatCode>0%</c:formatCode>
                <c:ptCount val="10"/>
                <c:pt idx="0">
                  <c:v>0.16841706059159342</c:v>
                </c:pt>
                <c:pt idx="1">
                  <c:v>0.16274483335884099</c:v>
                </c:pt>
                <c:pt idx="2">
                  <c:v>0.14143028998800206</c:v>
                </c:pt>
                <c:pt idx="3">
                  <c:v>9.9747224544622481E-2</c:v>
                </c:pt>
                <c:pt idx="4">
                  <c:v>0.14612373647606963</c:v>
                </c:pt>
                <c:pt idx="5">
                  <c:v>0.14751056521023639</c:v>
                </c:pt>
                <c:pt idx="6">
                  <c:v>0.10019471300157902</c:v>
                </c:pt>
                <c:pt idx="7">
                  <c:v>7.1585914122192854E-2</c:v>
                </c:pt>
                <c:pt idx="8">
                  <c:v>8.3690945709730749E-2</c:v>
                </c:pt>
                <c:pt idx="9">
                  <c:v>4.4761738211661933E-2</c:v>
                </c:pt>
              </c:numCache>
            </c:numRef>
          </c:val>
          <c:extLst>
            <c:ext xmlns:c16="http://schemas.microsoft.com/office/drawing/2014/chart" uri="{C3380CC4-5D6E-409C-BE32-E72D297353CC}">
              <c16:uniqueId val="{00000001-926C-4049-9282-E85A37430C29}"/>
            </c:ext>
          </c:extLst>
        </c:ser>
        <c:ser>
          <c:idx val="2"/>
          <c:order val="2"/>
          <c:tx>
            <c:strRef>
              <c:f>'UK scallop dredge over 15m'!$C$94</c:f>
              <c:strCache>
                <c:ptCount val="1"/>
                <c:pt idx="0">
                  <c:v>Nephrops</c:v>
                </c:pt>
              </c:strCache>
            </c:strRef>
          </c:tx>
          <c:spPr>
            <a:solidFill>
              <a:srgbClr val="648C2E"/>
            </a:solidFill>
            <a:ln>
              <a:solidFill>
                <a:srgbClr val="FFFFFF"/>
              </a:solidFill>
            </a:ln>
          </c:spPr>
          <c:invertIfNegative val="0"/>
          <c:cat>
            <c:numRef>
              <c:f>'UK scallop dredge over 15m'!$D$91:$M$91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'UK scallop dredge over 15m'!$D$94:$M$94</c:f>
              <c:numCache>
                <c:formatCode>0%</c:formatCode>
                <c:ptCount val="10"/>
                <c:pt idx="4">
                  <c:v>9.6434653571174662E-3</c:v>
                </c:pt>
                <c:pt idx="5">
                  <c:v>7.1048344791473424E-3</c:v>
                </c:pt>
                <c:pt idx="6">
                  <c:v>5.8272916915204582E-3</c:v>
                </c:pt>
                <c:pt idx="7">
                  <c:v>5.0503557209503891E-3</c:v>
                </c:pt>
                <c:pt idx="8">
                  <c:v>5.4782093149951675E-3</c:v>
                </c:pt>
              </c:numCache>
            </c:numRef>
          </c:val>
          <c:extLst>
            <c:ext xmlns:c16="http://schemas.microsoft.com/office/drawing/2014/chart" uri="{C3380CC4-5D6E-409C-BE32-E72D297353CC}">
              <c16:uniqueId val="{00000002-926C-4049-9282-E85A37430C29}"/>
            </c:ext>
          </c:extLst>
        </c:ser>
        <c:ser>
          <c:idx val="3"/>
          <c:order val="3"/>
          <c:tx>
            <c:strRef>
              <c:f>'UK scallop dredge over 15m'!$C$95</c:f>
              <c:strCache>
                <c:ptCount val="1"/>
                <c:pt idx="0">
                  <c:v>Turbot</c:v>
                </c:pt>
              </c:strCache>
            </c:strRef>
          </c:tx>
          <c:spPr>
            <a:solidFill>
              <a:srgbClr val="C1D119"/>
            </a:solidFill>
            <a:ln>
              <a:solidFill>
                <a:srgbClr val="FFFFFF"/>
              </a:solidFill>
            </a:ln>
          </c:spPr>
          <c:invertIfNegative val="0"/>
          <c:cat>
            <c:numRef>
              <c:f>'UK scallop dredge over 15m'!$D$91:$M$91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'UK scallop dredge over 15m'!$D$95:$M$95</c:f>
              <c:numCache>
                <c:formatCode>0%</c:formatCode>
                <c:ptCount val="10"/>
                <c:pt idx="2">
                  <c:v>8.8085085627958894E-3</c:v>
                </c:pt>
                <c:pt idx="3">
                  <c:v>1.1164988204088492E-2</c:v>
                </c:pt>
                <c:pt idx="4">
                  <c:v>8.4611288348846059E-3</c:v>
                </c:pt>
                <c:pt idx="5">
                  <c:v>5.8931872208221447E-3</c:v>
                </c:pt>
                <c:pt idx="6">
                  <c:v>2.8557912690854422E-3</c:v>
                </c:pt>
                <c:pt idx="7">
                  <c:v>3.3503510907827586E-3</c:v>
                </c:pt>
                <c:pt idx="8">
                  <c:v>5.2357872141143447E-3</c:v>
                </c:pt>
                <c:pt idx="9">
                  <c:v>5.6546154458022128E-3</c:v>
                </c:pt>
              </c:numCache>
            </c:numRef>
          </c:val>
          <c:extLst>
            <c:ext xmlns:c16="http://schemas.microsoft.com/office/drawing/2014/chart" uri="{C3380CC4-5D6E-409C-BE32-E72D297353CC}">
              <c16:uniqueId val="{00000003-926C-4049-9282-E85A37430C29}"/>
            </c:ext>
          </c:extLst>
        </c:ser>
        <c:ser>
          <c:idx val="4"/>
          <c:order val="4"/>
          <c:tx>
            <c:strRef>
              <c:f>'UK scallop dredge over 15m'!$C$96</c:f>
              <c:strCache>
                <c:ptCount val="1"/>
                <c:pt idx="0">
                  <c:v>Anglerfish</c:v>
                </c:pt>
              </c:strCache>
            </c:strRef>
          </c:tx>
          <c:spPr>
            <a:solidFill>
              <a:srgbClr val="E84A38"/>
            </a:solidFill>
            <a:ln>
              <a:solidFill>
                <a:srgbClr val="FFFFFF"/>
              </a:solidFill>
            </a:ln>
          </c:spPr>
          <c:invertIfNegative val="0"/>
          <c:cat>
            <c:numRef>
              <c:f>'UK scallop dredge over 15m'!$D$91:$M$91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'UK scallop dredge over 15m'!$D$96:$M$96</c:f>
              <c:numCache>
                <c:formatCode>0%</c:formatCode>
                <c:ptCount val="10"/>
                <c:pt idx="0">
                  <c:v>1.0297608040775433E-2</c:v>
                </c:pt>
                <c:pt idx="1">
                  <c:v>7.0491909517661211E-3</c:v>
                </c:pt>
                <c:pt idx="2">
                  <c:v>8.7840802869751169E-3</c:v>
                </c:pt>
                <c:pt idx="6">
                  <c:v>1.5777082649002907E-3</c:v>
                </c:pt>
                <c:pt idx="7">
                  <c:v>1.967011720073986E-3</c:v>
                </c:pt>
                <c:pt idx="8">
                  <c:v>4.57361398111628E-3</c:v>
                </c:pt>
                <c:pt idx="9">
                  <c:v>4.9202110680333297E-3</c:v>
                </c:pt>
              </c:numCache>
            </c:numRef>
          </c:val>
          <c:extLst>
            <c:ext xmlns:c16="http://schemas.microsoft.com/office/drawing/2014/chart" uri="{C3380CC4-5D6E-409C-BE32-E72D297353CC}">
              <c16:uniqueId val="{00000004-926C-4049-9282-E85A37430C29}"/>
            </c:ext>
          </c:extLst>
        </c:ser>
        <c:ser>
          <c:idx val="5"/>
          <c:order val="5"/>
          <c:tx>
            <c:strRef>
              <c:f>'UK scallop dredge over 15m'!$C$97</c:f>
              <c:strCache>
                <c:ptCount val="1"/>
                <c:pt idx="0">
                  <c:v>Sole</c:v>
                </c:pt>
              </c:strCache>
            </c:strRef>
          </c:tx>
          <c:spPr>
            <a:solidFill>
              <a:srgbClr val="0F9AA9"/>
            </a:solidFill>
            <a:ln>
              <a:solidFill>
                <a:srgbClr val="FFFFFF"/>
              </a:solidFill>
            </a:ln>
          </c:spPr>
          <c:invertIfNegative val="0"/>
          <c:cat>
            <c:numRef>
              <c:f>'UK scallop dredge over 15m'!$D$91:$M$91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'UK scallop dredge over 15m'!$D$97:$M$97</c:f>
              <c:numCache>
                <c:formatCode>0%</c:formatCode>
                <c:ptCount val="10"/>
                <c:pt idx="0">
                  <c:v>9.3447257766989204E-3</c:v>
                </c:pt>
                <c:pt idx="1">
                  <c:v>1.267688135358043E-2</c:v>
                </c:pt>
                <c:pt idx="3">
                  <c:v>9.0569956140306787E-3</c:v>
                </c:pt>
                <c:pt idx="9">
                  <c:v>5.2537653178778869E-3</c:v>
                </c:pt>
              </c:numCache>
            </c:numRef>
          </c:val>
          <c:extLst>
            <c:ext xmlns:c16="http://schemas.microsoft.com/office/drawing/2014/chart" uri="{C3380CC4-5D6E-409C-BE32-E72D297353CC}">
              <c16:uniqueId val="{00000005-926C-4049-9282-E85A37430C29}"/>
            </c:ext>
          </c:extLst>
        </c:ser>
        <c:ser>
          <c:idx val="6"/>
          <c:order val="6"/>
          <c:tx>
            <c:strRef>
              <c:f>'UK scallop dredge over 15m'!$C$98</c:f>
              <c:strCache>
                <c:ptCount val="1"/>
                <c:pt idx="0">
                  <c:v>Cuttlefish</c:v>
                </c:pt>
              </c:strCache>
            </c:strRef>
          </c:tx>
          <c:spPr>
            <a:solidFill>
              <a:srgbClr val="FED825"/>
            </a:solidFill>
            <a:ln>
              <a:solidFill>
                <a:srgbClr val="FFFFFF"/>
              </a:solidFill>
            </a:ln>
          </c:spPr>
          <c:invertIfNegative val="0"/>
          <c:cat>
            <c:numRef>
              <c:f>'UK scallop dredge over 15m'!$D$91:$M$91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'UK scallop dredge over 15m'!$D$98:$M$98</c:f>
              <c:numCache>
                <c:formatCode>0%</c:formatCode>
                <c:ptCount val="10"/>
                <c:pt idx="0">
                  <c:v>1.0142707429771535E-2</c:v>
                </c:pt>
                <c:pt idx="1">
                  <c:v>1.1620925911153528E-2</c:v>
                </c:pt>
                <c:pt idx="2">
                  <c:v>9.9812839249130945E-3</c:v>
                </c:pt>
                <c:pt idx="3">
                  <c:v>1.1887377220047688E-2</c:v>
                </c:pt>
                <c:pt idx="4">
                  <c:v>1.9312969058454935E-2</c:v>
                </c:pt>
                <c:pt idx="5">
                  <c:v>2.2118317841380516E-2</c:v>
                </c:pt>
              </c:numCache>
            </c:numRef>
          </c:val>
          <c:extLst>
            <c:ext xmlns:c16="http://schemas.microsoft.com/office/drawing/2014/chart" uri="{C3380CC4-5D6E-409C-BE32-E72D297353CC}">
              <c16:uniqueId val="{00000006-926C-4049-9282-E85A37430C29}"/>
            </c:ext>
          </c:extLst>
        </c:ser>
        <c:ser>
          <c:idx val="7"/>
          <c:order val="7"/>
          <c:tx>
            <c:strRef>
              <c:f>'UK scallop dredge over 15m'!$C$99</c:f>
              <c:strCache>
                <c:ptCount val="1"/>
                <c:pt idx="0">
                  <c:v>Others</c:v>
                </c:pt>
              </c:strCache>
            </c:strRef>
          </c:tx>
          <c:spPr>
            <a:solidFill>
              <a:srgbClr val="55585A"/>
            </a:solidFill>
            <a:ln>
              <a:solidFill>
                <a:srgbClr val="FFFFFF"/>
              </a:solidFill>
            </a:ln>
          </c:spPr>
          <c:invertIfNegative val="0"/>
          <c:cat>
            <c:numRef>
              <c:f>'UK scallop dredge over 15m'!$D$91:$M$91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'UK scallop dredge over 15m'!$D$99:$M$99</c:f>
              <c:numCache>
                <c:formatCode>0%</c:formatCode>
                <c:ptCount val="10"/>
                <c:pt idx="0">
                  <c:v>2.2927515712169198E-2</c:v>
                </c:pt>
                <c:pt idx="1">
                  <c:v>2.7596823203289371E-2</c:v>
                </c:pt>
                <c:pt idx="2">
                  <c:v>3.1978065732017613E-2</c:v>
                </c:pt>
                <c:pt idx="3">
                  <c:v>3.6996297893516515E-2</c:v>
                </c:pt>
                <c:pt idx="4">
                  <c:v>2.3864004760949405E-2</c:v>
                </c:pt>
                <c:pt idx="5">
                  <c:v>2.1533776666247659E-2</c:v>
                </c:pt>
                <c:pt idx="6">
                  <c:v>5.1642435652625614E-3</c:v>
                </c:pt>
                <c:pt idx="7">
                  <c:v>5.6353391945808276E-3</c:v>
                </c:pt>
                <c:pt idx="8">
                  <c:v>9.3203618621579467E-3</c:v>
                </c:pt>
                <c:pt idx="9">
                  <c:v>6.6666235741115205E-3</c:v>
                </c:pt>
              </c:numCache>
            </c:numRef>
          </c:val>
          <c:extLst>
            <c:ext xmlns:c16="http://schemas.microsoft.com/office/drawing/2014/chart" uri="{C3380CC4-5D6E-409C-BE32-E72D297353CC}">
              <c16:uniqueId val="{00000007-926C-4049-9282-E85A37430C29}"/>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'UK scallop dredge over 15m'!$B$162</c:f>
              <c:strCache>
                <c:ptCount val="1"/>
                <c:pt idx="0">
                  <c:v>Scallops</c:v>
                </c:pt>
              </c:strCache>
            </c:strRef>
          </c:tx>
          <c:spPr>
            <a:solidFill>
              <a:srgbClr val="2273B9"/>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15m'!$C$162:$E$162</c:f>
              <c:numCache>
                <c:formatCode>0%</c:formatCode>
                <c:ptCount val="3"/>
                <c:pt idx="0">
                  <c:v>0.70158826052952272</c:v>
                </c:pt>
                <c:pt idx="1">
                  <c:v>0.96179219760031043</c:v>
                </c:pt>
                <c:pt idx="2">
                  <c:v>0.95843669868540549</c:v>
                </c:pt>
              </c:numCache>
            </c:numRef>
          </c:val>
          <c:extLst>
            <c:ext xmlns:c16="http://schemas.microsoft.com/office/drawing/2014/chart" uri="{C3380CC4-5D6E-409C-BE32-E72D297353CC}">
              <c16:uniqueId val="{00000000-1513-479D-B659-14DC0396B163}"/>
            </c:ext>
          </c:extLst>
        </c:ser>
        <c:ser>
          <c:idx val="1"/>
          <c:order val="1"/>
          <c:tx>
            <c:strRef>
              <c:f>'UK scallop dredge over 15m'!$B$163</c:f>
              <c:strCache>
                <c:ptCount val="1"/>
                <c:pt idx="0">
                  <c:v>Queen Scallops</c:v>
                </c:pt>
              </c:strCache>
            </c:strRef>
          </c:tx>
          <c:spPr>
            <a:solidFill>
              <a:srgbClr val="E87308"/>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15m'!$C$163:$E$163</c:f>
              <c:numCache>
                <c:formatCode>0%</c:formatCode>
                <c:ptCount val="3"/>
                <c:pt idx="0">
                  <c:v>0.28694719745831487</c:v>
                </c:pt>
                <c:pt idx="1">
                  <c:v>2.0333107090145713E-2</c:v>
                </c:pt>
                <c:pt idx="2">
                  <c:v>1.475579109594119E-2</c:v>
                </c:pt>
              </c:numCache>
            </c:numRef>
          </c:val>
          <c:extLst>
            <c:ext xmlns:c16="http://schemas.microsoft.com/office/drawing/2014/chart" uri="{C3380CC4-5D6E-409C-BE32-E72D297353CC}">
              <c16:uniqueId val="{00000001-1513-479D-B659-14DC0396B163}"/>
            </c:ext>
          </c:extLst>
        </c:ser>
        <c:ser>
          <c:idx val="2"/>
          <c:order val="2"/>
          <c:tx>
            <c:strRef>
              <c:f>'UK scallop dredge over 15m'!$B$164</c:f>
              <c:strCache>
                <c:ptCount val="1"/>
                <c:pt idx="0">
                  <c:v>Nephrops</c:v>
                </c:pt>
              </c:strCache>
            </c:strRef>
          </c:tx>
          <c:spPr>
            <a:solidFill>
              <a:srgbClr val="648C2E"/>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15m'!$C$164:$E$164</c:f>
              <c:numCache>
                <c:formatCode>0%</c:formatCode>
                <c:ptCount val="3"/>
                <c:pt idx="0">
                  <c:v>0</c:v>
                </c:pt>
                <c:pt idx="1">
                  <c:v>9.8162061234953035E-3</c:v>
                </c:pt>
                <c:pt idx="2">
                  <c:v>9.5204781854556081E-3</c:v>
                </c:pt>
              </c:numCache>
            </c:numRef>
          </c:val>
          <c:extLst>
            <c:ext xmlns:c16="http://schemas.microsoft.com/office/drawing/2014/chart" uri="{C3380CC4-5D6E-409C-BE32-E72D297353CC}">
              <c16:uniqueId val="{00000002-1513-479D-B659-14DC0396B163}"/>
            </c:ext>
          </c:extLst>
        </c:ser>
        <c:ser>
          <c:idx val="3"/>
          <c:order val="3"/>
          <c:tx>
            <c:strRef>
              <c:f>'UK scallop dredge over 15m'!$B$165</c:f>
              <c:strCache>
                <c:ptCount val="1"/>
                <c:pt idx="0">
                  <c:v>Anglerfish</c:v>
                </c:pt>
              </c:strCache>
            </c:strRef>
          </c:tx>
          <c:spPr>
            <a:solidFill>
              <a:srgbClr val="E84A38"/>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15m'!$C$165:$E$165</c:f>
              <c:numCache>
                <c:formatCode>0%</c:formatCode>
                <c:ptCount val="3"/>
                <c:pt idx="0">
                  <c:v>4.9968786076660674E-3</c:v>
                </c:pt>
                <c:pt idx="1">
                  <c:v>2.336157577310787E-3</c:v>
                </c:pt>
                <c:pt idx="2">
                  <c:v>7.4871015705432211E-4</c:v>
                </c:pt>
              </c:numCache>
            </c:numRef>
          </c:val>
          <c:extLst>
            <c:ext xmlns:c16="http://schemas.microsoft.com/office/drawing/2014/chart" uri="{C3380CC4-5D6E-409C-BE32-E72D297353CC}">
              <c16:uniqueId val="{00000003-1513-479D-B659-14DC0396B163}"/>
            </c:ext>
          </c:extLst>
        </c:ser>
        <c:ser>
          <c:idx val="4"/>
          <c:order val="4"/>
          <c:tx>
            <c:strRef>
              <c:f>'UK scallop dredge over 15m'!$B$166</c:f>
              <c:strCache>
                <c:ptCount val="1"/>
                <c:pt idx="0">
                  <c:v>Cod</c:v>
                </c:pt>
              </c:strCache>
            </c:strRef>
          </c:tx>
          <c:spPr>
            <a:solidFill>
              <a:srgbClr val="0F9AA9"/>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15m'!$C$166:$E$166</c:f>
              <c:numCache>
                <c:formatCode>0%</c:formatCode>
                <c:ptCount val="3"/>
                <c:pt idx="0">
                  <c:v>0</c:v>
                </c:pt>
                <c:pt idx="1">
                  <c:v>2.088397768050415E-3</c:v>
                </c:pt>
                <c:pt idx="2">
                  <c:v>0</c:v>
                </c:pt>
              </c:numCache>
            </c:numRef>
          </c:val>
          <c:extLst>
            <c:ext xmlns:c16="http://schemas.microsoft.com/office/drawing/2014/chart" uri="{C3380CC4-5D6E-409C-BE32-E72D297353CC}">
              <c16:uniqueId val="{00000004-1513-479D-B659-14DC0396B163}"/>
            </c:ext>
          </c:extLst>
        </c:ser>
        <c:ser>
          <c:idx val="5"/>
          <c:order val="5"/>
          <c:tx>
            <c:strRef>
              <c:f>'UK scallop dredge over 15m'!$B$167</c:f>
              <c:strCache>
                <c:ptCount val="1"/>
                <c:pt idx="0">
                  <c:v>Squid</c:v>
                </c:pt>
              </c:strCache>
            </c:strRef>
          </c:tx>
          <c:spPr>
            <a:solidFill>
              <a:srgbClr val="FED825"/>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15m'!$C$167:$E$167</c:f>
              <c:numCache>
                <c:formatCode>0%</c:formatCode>
                <c:ptCount val="3"/>
                <c:pt idx="0">
                  <c:v>0</c:v>
                </c:pt>
                <c:pt idx="1">
                  <c:v>0</c:v>
                </c:pt>
                <c:pt idx="2">
                  <c:v>1.5497032278170978E-2</c:v>
                </c:pt>
              </c:numCache>
            </c:numRef>
          </c:val>
          <c:extLst>
            <c:ext xmlns:c16="http://schemas.microsoft.com/office/drawing/2014/chart" uri="{C3380CC4-5D6E-409C-BE32-E72D297353CC}">
              <c16:uniqueId val="{00000005-1513-479D-B659-14DC0396B163}"/>
            </c:ext>
          </c:extLst>
        </c:ser>
        <c:ser>
          <c:idx val="6"/>
          <c:order val="6"/>
          <c:tx>
            <c:strRef>
              <c:f>'UK scallop dredge over 15m'!$B$168</c:f>
              <c:strCache>
                <c:ptCount val="1"/>
                <c:pt idx="0">
                  <c:v>Turbot</c:v>
                </c:pt>
              </c:strCache>
            </c:strRef>
          </c:tx>
          <c:spPr>
            <a:solidFill>
              <a:srgbClr val="C1D119"/>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15m'!$C$168:$E$168</c:f>
              <c:numCache>
                <c:formatCode>0%</c:formatCode>
                <c:ptCount val="3"/>
                <c:pt idx="0">
                  <c:v>1.7268835787395955E-3</c:v>
                </c:pt>
                <c:pt idx="1">
                  <c:v>0</c:v>
                </c:pt>
                <c:pt idx="2">
                  <c:v>0</c:v>
                </c:pt>
              </c:numCache>
            </c:numRef>
          </c:val>
          <c:extLst>
            <c:ext xmlns:c16="http://schemas.microsoft.com/office/drawing/2014/chart" uri="{C3380CC4-5D6E-409C-BE32-E72D297353CC}">
              <c16:uniqueId val="{00000006-1513-479D-B659-14DC0396B163}"/>
            </c:ext>
          </c:extLst>
        </c:ser>
        <c:ser>
          <c:idx val="7"/>
          <c:order val="7"/>
          <c:tx>
            <c:strRef>
              <c:f>'UK scallop dredge over 15m'!$B$169</c:f>
              <c:strCache>
                <c:ptCount val="1"/>
                <c:pt idx="0">
                  <c:v>Plaice</c:v>
                </c:pt>
              </c:strCache>
            </c:strRef>
          </c:tx>
          <c:spPr>
            <a:solidFill>
              <a:srgbClr val="707271"/>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15m'!$C$169:$E$169</c:f>
              <c:numCache>
                <c:formatCode>0%</c:formatCode>
                <c:ptCount val="3"/>
                <c:pt idx="0">
                  <c:v>1.3319602399323341E-3</c:v>
                </c:pt>
                <c:pt idx="1">
                  <c:v>0</c:v>
                </c:pt>
                <c:pt idx="2">
                  <c:v>0</c:v>
                </c:pt>
              </c:numCache>
            </c:numRef>
          </c:val>
          <c:extLst>
            <c:ext xmlns:c16="http://schemas.microsoft.com/office/drawing/2014/chart" uri="{C3380CC4-5D6E-409C-BE32-E72D297353CC}">
              <c16:uniqueId val="{00000007-1513-479D-B659-14DC0396B163}"/>
            </c:ext>
          </c:extLst>
        </c:ser>
        <c:ser>
          <c:idx val="8"/>
          <c:order val="8"/>
          <c:tx>
            <c:strRef>
              <c:f>'UK scallop dredge over 15m'!$B$170</c:f>
              <c:strCache>
                <c:ptCount val="1"/>
                <c:pt idx="0">
                  <c:v>Others</c:v>
                </c:pt>
              </c:strCache>
            </c:strRef>
          </c:tx>
          <c:spPr>
            <a:solidFill>
              <a:srgbClr val="55585A"/>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15m'!$C$170:$E$170</c:f>
              <c:numCache>
                <c:formatCode>0%</c:formatCode>
                <c:ptCount val="3"/>
                <c:pt idx="0">
                  <c:v>3.4088195858243964E-3</c:v>
                </c:pt>
                <c:pt idx="1">
                  <c:v>3.6339338406874422E-3</c:v>
                </c:pt>
                <c:pt idx="2">
                  <c:v>1.0412895979723391E-3</c:v>
                </c:pt>
              </c:numCache>
            </c:numRef>
          </c:val>
          <c:extLst>
            <c:ext xmlns:c16="http://schemas.microsoft.com/office/drawing/2014/chart" uri="{C3380CC4-5D6E-409C-BE32-E72D297353CC}">
              <c16:uniqueId val="{00000008-1513-479D-B659-14DC0396B163}"/>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'UK scallop dredge over 15m'!$H$162</c:f>
              <c:strCache>
                <c:ptCount val="1"/>
                <c:pt idx="0">
                  <c:v>Scallops</c:v>
                </c:pt>
              </c:strCache>
            </c:strRef>
          </c:tx>
          <c:spPr>
            <a:solidFill>
              <a:srgbClr val="2273B9"/>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15m'!$I$162:$K$162</c:f>
              <c:numCache>
                <c:formatCode>0%</c:formatCode>
                <c:ptCount val="3"/>
                <c:pt idx="0">
                  <c:v>0.82171070788537426</c:v>
                </c:pt>
                <c:pt idx="1">
                  <c:v>0.96791915010540508</c:v>
                </c:pt>
                <c:pt idx="2">
                  <c:v>0.95485837290126663</c:v>
                </c:pt>
              </c:numCache>
            </c:numRef>
          </c:val>
          <c:extLst>
            <c:ext xmlns:c16="http://schemas.microsoft.com/office/drawing/2014/chart" uri="{C3380CC4-5D6E-409C-BE32-E72D297353CC}">
              <c16:uniqueId val="{00000000-E641-4CCB-B9E4-13E3315C0AE7}"/>
            </c:ext>
          </c:extLst>
        </c:ser>
        <c:ser>
          <c:idx val="1"/>
          <c:order val="1"/>
          <c:tx>
            <c:strRef>
              <c:f>'UK scallop dredge over 15m'!$H$163</c:f>
              <c:strCache>
                <c:ptCount val="1"/>
                <c:pt idx="0">
                  <c:v>Queen Scallops</c:v>
                </c:pt>
              </c:strCache>
            </c:strRef>
          </c:tx>
          <c:spPr>
            <a:solidFill>
              <a:srgbClr val="E87308"/>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15m'!$I$163:$K$163</c:f>
              <c:numCache>
                <c:formatCode>0%</c:formatCode>
                <c:ptCount val="3"/>
                <c:pt idx="0">
                  <c:v>0.15206229459642648</c:v>
                </c:pt>
                <c:pt idx="1">
                  <c:v>1.2229623321394777E-2</c:v>
                </c:pt>
                <c:pt idx="2">
                  <c:v>8.1224930394187302E-3</c:v>
                </c:pt>
              </c:numCache>
            </c:numRef>
          </c:val>
          <c:extLst>
            <c:ext xmlns:c16="http://schemas.microsoft.com/office/drawing/2014/chart" uri="{C3380CC4-5D6E-409C-BE32-E72D297353CC}">
              <c16:uniqueId val="{00000001-E641-4CCB-B9E4-13E3315C0AE7}"/>
            </c:ext>
          </c:extLst>
        </c:ser>
        <c:ser>
          <c:idx val="2"/>
          <c:order val="2"/>
          <c:tx>
            <c:strRef>
              <c:f>'UK scallop dredge over 15m'!$H$164</c:f>
              <c:strCache>
                <c:ptCount val="1"/>
                <c:pt idx="0">
                  <c:v>Nephrops</c:v>
                </c:pt>
              </c:strCache>
            </c:strRef>
          </c:tx>
          <c:spPr>
            <a:solidFill>
              <a:srgbClr val="648C2E"/>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15m'!$I$164:$K$164</c:f>
              <c:numCache>
                <c:formatCode>0%</c:formatCode>
                <c:ptCount val="3"/>
                <c:pt idx="0">
                  <c:v>0</c:v>
                </c:pt>
                <c:pt idx="1">
                  <c:v>9.4095955726030134E-3</c:v>
                </c:pt>
                <c:pt idx="2">
                  <c:v>2.0776800848817206E-2</c:v>
                </c:pt>
              </c:numCache>
            </c:numRef>
          </c:val>
          <c:extLst>
            <c:ext xmlns:c16="http://schemas.microsoft.com/office/drawing/2014/chart" uri="{C3380CC4-5D6E-409C-BE32-E72D297353CC}">
              <c16:uniqueId val="{00000002-E641-4CCB-B9E4-13E3315C0AE7}"/>
            </c:ext>
          </c:extLst>
        </c:ser>
        <c:ser>
          <c:idx val="3"/>
          <c:order val="3"/>
          <c:tx>
            <c:strRef>
              <c:f>'UK scallop dredge over 15m'!$H$165</c:f>
              <c:strCache>
                <c:ptCount val="1"/>
                <c:pt idx="0">
                  <c:v>Anglerfish</c:v>
                </c:pt>
              </c:strCache>
            </c:strRef>
          </c:tx>
          <c:spPr>
            <a:solidFill>
              <a:srgbClr val="E84A38"/>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15m'!$I$165:$K$165</c:f>
              <c:numCache>
                <c:formatCode>0%</c:formatCode>
                <c:ptCount val="3"/>
                <c:pt idx="0">
                  <c:v>6.643711352930912E-3</c:v>
                </c:pt>
                <c:pt idx="1">
                  <c:v>2.7335810192911847E-3</c:v>
                </c:pt>
                <c:pt idx="2">
                  <c:v>6.252364382015054E-4</c:v>
                </c:pt>
              </c:numCache>
            </c:numRef>
          </c:val>
          <c:extLst>
            <c:ext xmlns:c16="http://schemas.microsoft.com/office/drawing/2014/chart" uri="{C3380CC4-5D6E-409C-BE32-E72D297353CC}">
              <c16:uniqueId val="{00000003-E641-4CCB-B9E4-13E3315C0AE7}"/>
            </c:ext>
          </c:extLst>
        </c:ser>
        <c:ser>
          <c:idx val="4"/>
          <c:order val="4"/>
          <c:tx>
            <c:strRef>
              <c:f>'UK scallop dredge over 15m'!$H$166</c:f>
              <c:strCache>
                <c:ptCount val="1"/>
                <c:pt idx="0">
                  <c:v>Cod</c:v>
                </c:pt>
              </c:strCache>
            </c:strRef>
          </c:tx>
          <c:spPr>
            <a:solidFill>
              <a:srgbClr val="0F9AA9"/>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15m'!$I$166:$K$166</c:f>
              <c:numCache>
                <c:formatCode>0%</c:formatCode>
                <c:ptCount val="3"/>
                <c:pt idx="0">
                  <c:v>0</c:v>
                </c:pt>
                <c:pt idx="1">
                  <c:v>2.4586509372834442E-3</c:v>
                </c:pt>
                <c:pt idx="2">
                  <c:v>0</c:v>
                </c:pt>
              </c:numCache>
            </c:numRef>
          </c:val>
          <c:extLst>
            <c:ext xmlns:c16="http://schemas.microsoft.com/office/drawing/2014/chart" uri="{C3380CC4-5D6E-409C-BE32-E72D297353CC}">
              <c16:uniqueId val="{00000004-E641-4CCB-B9E4-13E3315C0AE7}"/>
            </c:ext>
          </c:extLst>
        </c:ser>
        <c:ser>
          <c:idx val="5"/>
          <c:order val="5"/>
          <c:tx>
            <c:strRef>
              <c:f>'UK scallop dredge over 15m'!$H$167</c:f>
              <c:strCache>
                <c:ptCount val="1"/>
                <c:pt idx="0">
                  <c:v>Squid</c:v>
                </c:pt>
              </c:strCache>
            </c:strRef>
          </c:tx>
          <c:spPr>
            <a:solidFill>
              <a:srgbClr val="FED825"/>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15m'!$I$167:$K$167</c:f>
              <c:numCache>
                <c:formatCode>0%</c:formatCode>
                <c:ptCount val="3"/>
                <c:pt idx="0">
                  <c:v>0</c:v>
                </c:pt>
                <c:pt idx="1">
                  <c:v>0</c:v>
                </c:pt>
                <c:pt idx="2">
                  <c:v>1.4430580108277294E-2</c:v>
                </c:pt>
              </c:numCache>
            </c:numRef>
          </c:val>
          <c:extLst>
            <c:ext xmlns:c16="http://schemas.microsoft.com/office/drawing/2014/chart" uri="{C3380CC4-5D6E-409C-BE32-E72D297353CC}">
              <c16:uniqueId val="{00000005-E641-4CCB-B9E4-13E3315C0AE7}"/>
            </c:ext>
          </c:extLst>
        </c:ser>
        <c:ser>
          <c:idx val="6"/>
          <c:order val="6"/>
          <c:tx>
            <c:strRef>
              <c:f>'UK scallop dredge over 15m'!$H$168</c:f>
              <c:strCache>
                <c:ptCount val="1"/>
                <c:pt idx="0">
                  <c:v>Turbot</c:v>
                </c:pt>
              </c:strCache>
            </c:strRef>
          </c:tx>
          <c:spPr>
            <a:solidFill>
              <a:srgbClr val="C1D119"/>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15m'!$I$168:$K$168</c:f>
              <c:numCache>
                <c:formatCode>0%</c:formatCode>
                <c:ptCount val="3"/>
                <c:pt idx="0">
                  <c:v>8.727744116661721E-3</c:v>
                </c:pt>
                <c:pt idx="1">
                  <c:v>0</c:v>
                </c:pt>
                <c:pt idx="2">
                  <c:v>0</c:v>
                </c:pt>
              </c:numCache>
            </c:numRef>
          </c:val>
          <c:extLst>
            <c:ext xmlns:c16="http://schemas.microsoft.com/office/drawing/2014/chart" uri="{C3380CC4-5D6E-409C-BE32-E72D297353CC}">
              <c16:uniqueId val="{00000006-E641-4CCB-B9E4-13E3315C0AE7}"/>
            </c:ext>
          </c:extLst>
        </c:ser>
        <c:ser>
          <c:idx val="7"/>
          <c:order val="7"/>
          <c:tx>
            <c:strRef>
              <c:f>'UK scallop dredge over 15m'!$H$169</c:f>
              <c:strCache>
                <c:ptCount val="1"/>
                <c:pt idx="0">
                  <c:v>Sole</c:v>
                </c:pt>
              </c:strCache>
            </c:strRef>
          </c:tx>
          <c:spPr>
            <a:solidFill>
              <a:srgbClr val="51AA81"/>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15m'!$I$169:$K$169</c:f>
              <c:numCache>
                <c:formatCode>0%</c:formatCode>
                <c:ptCount val="3"/>
                <c:pt idx="0">
                  <c:v>6.7836738883805849E-3</c:v>
                </c:pt>
                <c:pt idx="1">
                  <c:v>0</c:v>
                </c:pt>
                <c:pt idx="2">
                  <c:v>0</c:v>
                </c:pt>
              </c:numCache>
            </c:numRef>
          </c:val>
          <c:extLst>
            <c:ext xmlns:c16="http://schemas.microsoft.com/office/drawing/2014/chart" uri="{C3380CC4-5D6E-409C-BE32-E72D297353CC}">
              <c16:uniqueId val="{00000007-E641-4CCB-B9E4-13E3315C0AE7}"/>
            </c:ext>
          </c:extLst>
        </c:ser>
        <c:ser>
          <c:idx val="8"/>
          <c:order val="8"/>
          <c:tx>
            <c:strRef>
              <c:f>'UK scallop dredge over 15m'!$H$170</c:f>
              <c:strCache>
                <c:ptCount val="1"/>
                <c:pt idx="0">
                  <c:v>Others</c:v>
                </c:pt>
              </c:strCache>
            </c:strRef>
          </c:tx>
          <c:spPr>
            <a:solidFill>
              <a:srgbClr val="55585A"/>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15m'!$I$170:$K$170</c:f>
              <c:numCache>
                <c:formatCode>0%</c:formatCode>
                <c:ptCount val="3"/>
                <c:pt idx="0">
                  <c:v>4.0718681602258666E-3</c:v>
                </c:pt>
                <c:pt idx="1">
                  <c:v>5.2493990440224403E-3</c:v>
                </c:pt>
                <c:pt idx="2">
                  <c:v>1.1865166640186997E-3</c:v>
                </c:pt>
              </c:numCache>
            </c:numRef>
          </c:val>
          <c:extLst>
            <c:ext xmlns:c16="http://schemas.microsoft.com/office/drawing/2014/chart" uri="{C3380CC4-5D6E-409C-BE32-E72D297353CC}">
              <c16:uniqueId val="{00000008-E641-4CCB-B9E4-13E3315C0AE7}"/>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'UK scallop dredge over 15m'!$K$139</c:f>
              <c:strCache>
                <c:ptCount val="1"/>
                <c:pt idx="0">
                  <c:v>Total income</c:v>
                </c:pt>
              </c:strCache>
            </c:strRef>
          </c:tx>
          <c:spPr>
            <a:solidFill>
              <a:srgbClr val="087CBB"/>
            </a:solidFill>
            <a:ln>
              <a:solidFill>
                <a:schemeClr val="accent1"/>
              </a:solidFill>
            </a:ln>
          </c:spPr>
          <c:invertIfNegative val="0"/>
          <c:cat>
            <c:strRef>
              <c:f>'UK scallop dredge over 15m'!$L$138:$N$138</c:f>
              <c:strCache>
                <c:ptCount val="3"/>
                <c:pt idx="0">
                  <c:v>Most
profitable
quartile</c:v>
                </c:pt>
                <c:pt idx="1">
                  <c:v>Middle
two quartiles</c:v>
                </c:pt>
                <c:pt idx="2">
                  <c:v>Least
profitable
quartile</c:v>
                </c:pt>
              </c:strCache>
            </c:strRef>
          </c:cat>
          <c:val>
            <c:numRef>
              <c:f>'UK scallop dredge over 15m'!$L$139:$N$139</c:f>
              <c:numCache>
                <c:formatCode>#,##0</c:formatCode>
                <c:ptCount val="3"/>
                <c:pt idx="0">
                  <c:v>1111.0006249999999</c:v>
                </c:pt>
                <c:pt idx="1">
                  <c:v>440.80726562500001</c:v>
                </c:pt>
                <c:pt idx="2">
                  <c:v>171.44648437500001</c:v>
                </c:pt>
              </c:numCache>
            </c:numRef>
          </c:val>
          <c:extLst>
            <c:ext xmlns:c16="http://schemas.microsoft.com/office/drawing/2014/chart" uri="{C3380CC4-5D6E-409C-BE32-E72D297353CC}">
              <c16:uniqueId val="{00000000-F148-40F4-8E02-2AE18438857D}"/>
            </c:ext>
          </c:extLst>
        </c:ser>
        <c:ser>
          <c:idx val="1"/>
          <c:order val="1"/>
          <c:tx>
            <c:strRef>
              <c:f>'UK scallop dredge over 15m'!$K$140</c:f>
              <c:strCache>
                <c:ptCount val="1"/>
                <c:pt idx="0">
                  <c:v>Operating costs</c:v>
                </c:pt>
              </c:strCache>
            </c:strRef>
          </c:tx>
          <c:spPr>
            <a:solidFill>
              <a:srgbClr val="E87308"/>
            </a:solidFill>
          </c:spPr>
          <c:invertIfNegative val="0"/>
          <c:cat>
            <c:strRef>
              <c:f>'UK scallop dredge over 15m'!$L$138:$N$138</c:f>
              <c:strCache>
                <c:ptCount val="3"/>
                <c:pt idx="0">
                  <c:v>Most
profitable
quartile</c:v>
                </c:pt>
                <c:pt idx="1">
                  <c:v>Middle
two quartiles</c:v>
                </c:pt>
                <c:pt idx="2">
                  <c:v>Least
profitable
quartile</c:v>
                </c:pt>
              </c:strCache>
            </c:strRef>
          </c:cat>
          <c:val>
            <c:numRef>
              <c:f>'UK scallop dredge over 15m'!$L$140:$N$140</c:f>
              <c:numCache>
                <c:formatCode>#,##0</c:formatCode>
                <c:ptCount val="3"/>
                <c:pt idx="0">
                  <c:v>879.23193749999996</c:v>
                </c:pt>
                <c:pt idx="1">
                  <c:v>389.49418750000001</c:v>
                </c:pt>
                <c:pt idx="2">
                  <c:v>177.02324999999999</c:v>
                </c:pt>
              </c:numCache>
            </c:numRef>
          </c:val>
          <c:extLst>
            <c:ext xmlns:c16="http://schemas.microsoft.com/office/drawing/2014/chart" uri="{C3380CC4-5D6E-409C-BE32-E72D297353CC}">
              <c16:uniqueId val="{00000001-F148-40F4-8E02-2AE18438857D}"/>
            </c:ext>
          </c:extLst>
        </c:ser>
        <c:ser>
          <c:idx val="2"/>
          <c:order val="2"/>
          <c:tx>
            <c:strRef>
              <c:f>'UK scallop dredge over 15m'!$K$141</c:f>
              <c:strCache>
                <c:ptCount val="1"/>
                <c:pt idx="0">
                  <c:v>Operating profit</c:v>
                </c:pt>
              </c:strCache>
            </c:strRef>
          </c:tx>
          <c:spPr>
            <a:solidFill>
              <a:srgbClr val="51AA81"/>
            </a:solidFill>
          </c:spPr>
          <c:invertIfNegative val="0"/>
          <c:cat>
            <c:strRef>
              <c:f>'UK scallop dredge over 15m'!$L$138:$N$138</c:f>
              <c:strCache>
                <c:ptCount val="3"/>
                <c:pt idx="0">
                  <c:v>Most
profitable
quartile</c:v>
                </c:pt>
                <c:pt idx="1">
                  <c:v>Middle
two quartiles</c:v>
                </c:pt>
                <c:pt idx="2">
                  <c:v>Least
profitable
quartile</c:v>
                </c:pt>
              </c:strCache>
            </c:strRef>
          </c:cat>
          <c:val>
            <c:numRef>
              <c:f>'UK scallop dredge over 15m'!$L$141:$N$141</c:f>
              <c:numCache>
                <c:formatCode>#,##0</c:formatCode>
                <c:ptCount val="3"/>
                <c:pt idx="0">
                  <c:v>231.7686875</c:v>
                </c:pt>
                <c:pt idx="1">
                  <c:v>51.313078124999997</c:v>
                </c:pt>
                <c:pt idx="2">
                  <c:v>-5.5767656250000002</c:v>
                </c:pt>
              </c:numCache>
            </c:numRef>
          </c:val>
          <c:extLst>
            <c:ext xmlns:c16="http://schemas.microsoft.com/office/drawing/2014/chart" uri="{C3380CC4-5D6E-409C-BE32-E72D297353CC}">
              <c16:uniqueId val="{00000002-F148-40F4-8E02-2AE18438857D}"/>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'UK scallop dredge over 15m'!$K$142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15m'!$A$48</c:f>
          <c:strCache>
            <c:ptCount val="1"/>
            <c:pt idx="0">
              <c:v>Landings per kW day at sea (kg)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0375-4256-A6C2-9A28D4F5F235}"/>
              </c:ext>
            </c:extLst>
          </c:dPt>
          <c:dPt>
            <c:idx val="10"/>
            <c:bubble3D val="0"/>
            <c:spPr>
              <a:ln w="57150">
                <a:solidFill>
                  <a:srgbClr val="2273B9"/>
                </a:solidFill>
                <a:prstDash val="sysDot"/>
              </a:ln>
            </c:spPr>
            <c:extLst>
              <c:ext xmlns:c16="http://schemas.microsoft.com/office/drawing/2014/chart" uri="{C3380CC4-5D6E-409C-BE32-E72D297353CC}">
                <c16:uniqueId val="{00000003-0375-4256-A6C2-9A28D4F5F235}"/>
              </c:ext>
            </c:extLst>
          </c:dPt>
          <c:cat>
            <c:numRef>
              <c:f>'UK scallop dredge under 15m'!$D$2:$N$2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'UK scallop dredge under 15m'!$D$21:$N$21</c:f>
              <c:numCache>
                <c:formatCode>#,##0.00</c:formatCode>
                <c:ptCount val="11"/>
                <c:pt idx="0">
                  <c:v>6.0898114500938174</c:v>
                </c:pt>
                <c:pt idx="1">
                  <c:v>7.9199977241014317</c:v>
                </c:pt>
                <c:pt idx="2">
                  <c:v>6.5354112487720801</c:v>
                </c:pt>
                <c:pt idx="3">
                  <c:v>7.7882520128140298</c:v>
                </c:pt>
                <c:pt idx="4">
                  <c:v>7.1004815832487802</c:v>
                </c:pt>
                <c:pt idx="5">
                  <c:v>6.9926513290677343</c:v>
                </c:pt>
                <c:pt idx="6">
                  <c:v>5.1164718238853713</c:v>
                </c:pt>
                <c:pt idx="7">
                  <c:v>5.4715309855001584</c:v>
                </c:pt>
                <c:pt idx="8">
                  <c:v>5.8048132895312712</c:v>
                </c:pt>
                <c:pt idx="9">
                  <c:v>6.5050459562438174</c:v>
                </c:pt>
                <c:pt idx="10">
                  <c:v>7.757191793034802</c:v>
                </c:pt>
              </c:numCache>
            </c:numRef>
          </c:val>
          <c:smooth val="0"/>
          <c:extLst>
            <c:ext xmlns:c16="http://schemas.microsoft.com/office/drawing/2014/chart" uri="{C3380CC4-5D6E-409C-BE32-E72D297353CC}">
              <c16:uniqueId val="{00000004-0375-4256-A6C2-9A28D4F5F235}"/>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u250kW'!$A$50</c:f>
          <c:strCache>
            <c:ptCount val="1"/>
            <c:pt idx="0">
              <c:v>Average price per tonne landed (£)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A839-41B9-A0B4-B8DB1531FAD7}"/>
              </c:ext>
            </c:extLst>
          </c:dPt>
          <c:dPt>
            <c:idx val="10"/>
            <c:bubble3D val="0"/>
            <c:spPr>
              <a:ln w="57150">
                <a:solidFill>
                  <a:schemeClr val="accent4"/>
                </a:solidFill>
                <a:prstDash val="sysDot"/>
              </a:ln>
            </c:spPr>
            <c:extLst>
              <c:ext xmlns:c16="http://schemas.microsoft.com/office/drawing/2014/chart" uri="{C3380CC4-5D6E-409C-BE32-E72D297353CC}">
                <c16:uniqueId val="{00000003-A839-41B9-A0B4-B8DB1531FAD7}"/>
              </c:ext>
            </c:extLst>
          </c:dPt>
          <c:cat>
            <c:numRef>
              <c:f>'Area VIIa nephrops u250kW'!$D$2:$M$2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'Area VIIa nephrops u250kW'!$D$20:$N$20</c:f>
              <c:numCache>
                <c:formatCode>#,##0</c:formatCode>
                <c:ptCount val="11"/>
                <c:pt idx="0">
                  <c:v>1740</c:v>
                </c:pt>
                <c:pt idx="1">
                  <c:v>2346</c:v>
                </c:pt>
                <c:pt idx="2">
                  <c:v>2444</c:v>
                </c:pt>
                <c:pt idx="3">
                  <c:v>2088</c:v>
                </c:pt>
                <c:pt idx="4">
                  <c:v>2344</c:v>
                </c:pt>
                <c:pt idx="5">
                  <c:v>2170</c:v>
                </c:pt>
                <c:pt idx="6">
                  <c:v>2333</c:v>
                </c:pt>
                <c:pt idx="7">
                  <c:v>2275</c:v>
                </c:pt>
                <c:pt idx="8">
                  <c:v>2366</c:v>
                </c:pt>
                <c:pt idx="9">
                  <c:v>2370</c:v>
                </c:pt>
                <c:pt idx="10">
                  <c:v>1761</c:v>
                </c:pt>
              </c:numCache>
            </c:numRef>
          </c:val>
          <c:smooth val="0"/>
          <c:extLst>
            <c:ext xmlns:c16="http://schemas.microsoft.com/office/drawing/2014/chart" uri="{C3380CC4-5D6E-409C-BE32-E72D297353CC}">
              <c16:uniqueId val="{00000004-A839-41B9-A0B4-B8DB1531FAD7}"/>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15m'!$A$49</c:f>
          <c:strCache>
            <c:ptCount val="1"/>
            <c:pt idx="0">
              <c:v>Fishing income per kW day at sea (£)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6AF1-4887-8047-8C854AD8E6FC}"/>
              </c:ext>
            </c:extLst>
          </c:dPt>
          <c:dPt>
            <c:idx val="10"/>
            <c:bubble3D val="0"/>
            <c:spPr>
              <a:ln w="57150">
                <a:solidFill>
                  <a:srgbClr val="648C2E"/>
                </a:solidFill>
                <a:prstDash val="sysDot"/>
              </a:ln>
            </c:spPr>
            <c:extLst>
              <c:ext xmlns:c16="http://schemas.microsoft.com/office/drawing/2014/chart" uri="{C3380CC4-5D6E-409C-BE32-E72D297353CC}">
                <c16:uniqueId val="{00000003-6AF1-4887-8047-8C854AD8E6FC}"/>
              </c:ext>
            </c:extLst>
          </c:dPt>
          <c:cat>
            <c:numRef>
              <c:f>'UK scallop dredge under 15m'!$D$2:$N$2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'UK scallop dredge under 15m'!$D$22:$N$22</c:f>
              <c:numCache>
                <c:formatCode>#,##0.00</c:formatCode>
                <c:ptCount val="11"/>
                <c:pt idx="0">
                  <c:v>9.6694545705219408</c:v>
                </c:pt>
                <c:pt idx="1">
                  <c:v>10.082621881321</c:v>
                </c:pt>
                <c:pt idx="2">
                  <c:v>10.453787172149701</c:v>
                </c:pt>
                <c:pt idx="3">
                  <c:v>9.48874758940301</c:v>
                </c:pt>
                <c:pt idx="4">
                  <c:v>10.7281985089476</c:v>
                </c:pt>
                <c:pt idx="5">
                  <c:v>9.5737604989006595</c:v>
                </c:pt>
                <c:pt idx="6">
                  <c:v>10.019607026001699</c:v>
                </c:pt>
                <c:pt idx="7">
                  <c:v>11.016713629557</c:v>
                </c:pt>
                <c:pt idx="8">
                  <c:v>10.7847406247049</c:v>
                </c:pt>
                <c:pt idx="9">
                  <c:v>11.6820318541833</c:v>
                </c:pt>
                <c:pt idx="10">
                  <c:v>10.262828621274485</c:v>
                </c:pt>
              </c:numCache>
            </c:numRef>
          </c:val>
          <c:smooth val="0"/>
          <c:extLst>
            <c:ext xmlns:c16="http://schemas.microsoft.com/office/drawing/2014/chart" uri="{C3380CC4-5D6E-409C-BE32-E72D297353CC}">
              <c16:uniqueId val="{00000004-6AF1-4887-8047-8C854AD8E6FC}"/>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15m'!$B$62</c:f>
          <c:strCache>
            <c:ptCount val="1"/>
            <c:pt idx="0">
              <c:v>Total cost per kW day at sea (£)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42B3-4327-84A5-02A395AB52F0}"/>
              </c:ext>
            </c:extLst>
          </c:dPt>
          <c:dPt>
            <c:idx val="10"/>
            <c:bubble3D val="0"/>
            <c:spPr>
              <a:ln w="57150">
                <a:solidFill>
                  <a:srgbClr val="087CBB"/>
                </a:solidFill>
                <a:prstDash val="sysDot"/>
              </a:ln>
            </c:spPr>
            <c:extLst>
              <c:ext xmlns:c16="http://schemas.microsoft.com/office/drawing/2014/chart" uri="{C3380CC4-5D6E-409C-BE32-E72D297353CC}">
                <c16:uniqueId val="{00000003-42B3-4327-84A5-02A395AB52F0}"/>
              </c:ext>
            </c:extLst>
          </c:dPt>
          <c:cat>
            <c:numRef>
              <c:f>'UK scallop dredge under 15m'!$D$2:$N$2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'UK scallop dredge under 15m'!$D$23:$N$23</c:f>
              <c:numCache>
                <c:formatCode>#,##0.00</c:formatCode>
                <c:ptCount val="11"/>
                <c:pt idx="0">
                  <c:v>8.1513648406571093</c:v>
                </c:pt>
                <c:pt idx="1">
                  <c:v>8.9134545021923195</c:v>
                </c:pt>
                <c:pt idx="2">
                  <c:v>8.4210637707333902</c:v>
                </c:pt>
                <c:pt idx="3">
                  <c:v>8.2300530368311904</c:v>
                </c:pt>
                <c:pt idx="4">
                  <c:v>8.8082378729411506</c:v>
                </c:pt>
                <c:pt idx="5">
                  <c:v>7.9383571332177896</c:v>
                </c:pt>
                <c:pt idx="6">
                  <c:v>8.5393170791833093</c:v>
                </c:pt>
                <c:pt idx="7">
                  <c:v>10.0366093048903</c:v>
                </c:pt>
                <c:pt idx="8">
                  <c:v>9.2941937215612995</c:v>
                </c:pt>
                <c:pt idx="9">
                  <c:v>10.347010609497</c:v>
                </c:pt>
                <c:pt idx="10">
                  <c:v>10.11393314154806</c:v>
                </c:pt>
              </c:numCache>
            </c:numRef>
          </c:val>
          <c:smooth val="0"/>
          <c:extLst>
            <c:ext xmlns:c16="http://schemas.microsoft.com/office/drawing/2014/chart" uri="{C3380CC4-5D6E-409C-BE32-E72D297353CC}">
              <c16:uniqueId val="{00000004-42B3-4327-84A5-02A395AB52F0}"/>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15m'!$K$48</c:f>
          <c:strCache>
            <c:ptCount val="1"/>
            <c:pt idx="0">
              <c:v>Operating profit per kW day at sea (£)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9E52-481B-8BBE-BEE3744CA025}"/>
              </c:ext>
            </c:extLst>
          </c:dPt>
          <c:dPt>
            <c:idx val="10"/>
            <c:bubble3D val="0"/>
            <c:spPr>
              <a:ln w="57150">
                <a:solidFill>
                  <a:schemeClr val="accent3"/>
                </a:solidFill>
                <a:prstDash val="sysDot"/>
              </a:ln>
            </c:spPr>
            <c:extLst>
              <c:ext xmlns:c16="http://schemas.microsoft.com/office/drawing/2014/chart" uri="{C3380CC4-5D6E-409C-BE32-E72D297353CC}">
                <c16:uniqueId val="{00000003-9E52-481B-8BBE-BEE3744CA025}"/>
              </c:ext>
            </c:extLst>
          </c:dPt>
          <c:cat>
            <c:numRef>
              <c:f>'UK scallop dredge under 15m'!$D$2:$N$2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'UK scallop dredge under 15m'!$D$24:$N$24</c:f>
              <c:numCache>
                <c:formatCode>#,##0.00</c:formatCode>
                <c:ptCount val="11"/>
                <c:pt idx="0">
                  <c:v>1.6666393653417799</c:v>
                </c:pt>
                <c:pt idx="1">
                  <c:v>1.2389786198636501</c:v>
                </c:pt>
                <c:pt idx="2">
                  <c:v>2.4259671190079199</c:v>
                </c:pt>
                <c:pt idx="3">
                  <c:v>1.5696504713361601</c:v>
                </c:pt>
                <c:pt idx="4">
                  <c:v>2.0473163687045601</c:v>
                </c:pt>
                <c:pt idx="5">
                  <c:v>2.13813696756967</c:v>
                </c:pt>
                <c:pt idx="6">
                  <c:v>1.87537426593823</c:v>
                </c:pt>
                <c:pt idx="7">
                  <c:v>1.3693119222138399</c:v>
                </c:pt>
                <c:pt idx="8">
                  <c:v>1.90825043849932</c:v>
                </c:pt>
                <c:pt idx="9">
                  <c:v>1.8220521668166001</c:v>
                </c:pt>
                <c:pt idx="10">
                  <c:v>1.0552800123476955</c:v>
                </c:pt>
              </c:numCache>
            </c:numRef>
          </c:val>
          <c:smooth val="0"/>
          <c:extLst>
            <c:ext xmlns:c16="http://schemas.microsoft.com/office/drawing/2014/chart" uri="{C3380CC4-5D6E-409C-BE32-E72D297353CC}">
              <c16:uniqueId val="{00000004-9E52-481B-8BBE-BEE3744CA025}"/>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15m'!$A$50</c:f>
          <c:strCache>
            <c:ptCount val="1"/>
            <c:pt idx="0">
              <c:v>Average price per tonne landed (£)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5480-4AF0-B537-38AD9C9201E6}"/>
              </c:ext>
            </c:extLst>
          </c:dPt>
          <c:dPt>
            <c:idx val="10"/>
            <c:bubble3D val="0"/>
            <c:spPr>
              <a:ln w="57150">
                <a:solidFill>
                  <a:schemeClr val="accent4"/>
                </a:solidFill>
                <a:prstDash val="sysDot"/>
              </a:ln>
            </c:spPr>
            <c:extLst>
              <c:ext xmlns:c16="http://schemas.microsoft.com/office/drawing/2014/chart" uri="{C3380CC4-5D6E-409C-BE32-E72D297353CC}">
                <c16:uniqueId val="{00000003-5480-4AF0-B537-38AD9C9201E6}"/>
              </c:ext>
            </c:extLst>
          </c:dPt>
          <c:cat>
            <c:numRef>
              <c:f>'UK scallop dredge under 15m'!$D$2:$M$2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'UK scallop dredge under 15m'!$D$20:$N$20</c:f>
              <c:numCache>
                <c:formatCode>#,##0</c:formatCode>
                <c:ptCount val="11"/>
                <c:pt idx="0">
                  <c:v>1588</c:v>
                </c:pt>
                <c:pt idx="1">
                  <c:v>1273</c:v>
                </c:pt>
                <c:pt idx="2">
                  <c:v>1600</c:v>
                </c:pt>
                <c:pt idx="3">
                  <c:v>1218</c:v>
                </c:pt>
                <c:pt idx="4">
                  <c:v>1511</c:v>
                </c:pt>
                <c:pt idx="5">
                  <c:v>1369</c:v>
                </c:pt>
                <c:pt idx="6">
                  <c:v>1958</c:v>
                </c:pt>
                <c:pt idx="7">
                  <c:v>2013</c:v>
                </c:pt>
                <c:pt idx="8">
                  <c:v>1858</c:v>
                </c:pt>
                <c:pt idx="9">
                  <c:v>1796</c:v>
                </c:pt>
                <c:pt idx="10">
                  <c:v>1323</c:v>
                </c:pt>
              </c:numCache>
            </c:numRef>
          </c:val>
          <c:smooth val="0"/>
          <c:extLst>
            <c:ext xmlns:c16="http://schemas.microsoft.com/office/drawing/2014/chart" uri="{C3380CC4-5D6E-409C-BE32-E72D297353CC}">
              <c16:uniqueId val="{00000004-5480-4AF0-B537-38AD9C9201E6}"/>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15m'!$K$62</c:f>
          <c:strCache>
            <c:ptCount val="1"/>
            <c:pt idx="0">
              <c:v>Average annual operating profit per vessel (£'000)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C064-4D19-B2D7-F7FC6A35F004}"/>
              </c:ext>
            </c:extLst>
          </c:dPt>
          <c:dPt>
            <c:idx val="10"/>
            <c:bubble3D val="0"/>
            <c:spPr>
              <a:ln w="57150">
                <a:solidFill>
                  <a:schemeClr val="accent5"/>
                </a:solidFill>
                <a:prstDash val="sysDot"/>
              </a:ln>
            </c:spPr>
            <c:extLst>
              <c:ext xmlns:c16="http://schemas.microsoft.com/office/drawing/2014/chart" uri="{C3380CC4-5D6E-409C-BE32-E72D297353CC}">
                <c16:uniqueId val="{00000003-C064-4D19-B2D7-F7FC6A35F004}"/>
              </c:ext>
            </c:extLst>
          </c:dPt>
          <c:cat>
            <c:numRef>
              <c:f>'UK scallop dredge under 15m'!$D$2:$M$2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'UK scallop dredge under 15m'!$D$37:$N$37</c:f>
              <c:numCache>
                <c:formatCode>#,##0.0</c:formatCode>
                <c:ptCount val="11"/>
                <c:pt idx="0">
                  <c:v>25.9</c:v>
                </c:pt>
                <c:pt idx="1">
                  <c:v>16.8</c:v>
                </c:pt>
                <c:pt idx="2">
                  <c:v>39.700000000000003</c:v>
                </c:pt>
                <c:pt idx="3">
                  <c:v>22.8</c:v>
                </c:pt>
                <c:pt idx="4">
                  <c:v>29.2</c:v>
                </c:pt>
                <c:pt idx="5">
                  <c:v>31.5</c:v>
                </c:pt>
                <c:pt idx="6">
                  <c:v>33.200000000000003</c:v>
                </c:pt>
                <c:pt idx="7">
                  <c:v>20</c:v>
                </c:pt>
                <c:pt idx="8">
                  <c:v>28.4</c:v>
                </c:pt>
                <c:pt idx="9">
                  <c:v>28.2</c:v>
                </c:pt>
                <c:pt idx="10">
                  <c:v>13.700000000000001</c:v>
                </c:pt>
              </c:numCache>
            </c:numRef>
          </c:val>
          <c:smooth val="0"/>
          <c:extLst>
            <c:ext xmlns:c16="http://schemas.microsoft.com/office/drawing/2014/chart" uri="{C3380CC4-5D6E-409C-BE32-E72D297353CC}">
              <c16:uniqueId val="{00000004-C064-4D19-B2D7-F7FC6A35F004}"/>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under 15m'!$A$76</c:f>
          <c:strCache>
            <c:ptCount val="1"/>
            <c:pt idx="0">
              <c:v>Top 5 landed species by volume in 2019
UK scallop dredge under 15m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E87308"/>
              </a:solidFill>
              <a:ln>
                <a:solidFill>
                  <a:srgbClr val="FFFFFF"/>
                </a:solidFill>
              </a:ln>
            </c:spPr>
            <c:extLst>
              <c:ext xmlns:c16="http://schemas.microsoft.com/office/drawing/2014/chart" uri="{C3380CC4-5D6E-409C-BE32-E72D297353CC}">
                <c16:uniqueId val="{00000001-4AE1-4C61-9CBA-5B33CE9F77DD}"/>
              </c:ext>
            </c:extLst>
          </c:dPt>
          <c:dPt>
            <c:idx val="1"/>
            <c:bubble3D val="0"/>
            <c:spPr>
              <a:solidFill>
                <a:srgbClr val="2273B9"/>
              </a:solidFill>
              <a:ln>
                <a:solidFill>
                  <a:srgbClr val="FFFFFF"/>
                </a:solidFill>
              </a:ln>
            </c:spPr>
            <c:extLst>
              <c:ext xmlns:c16="http://schemas.microsoft.com/office/drawing/2014/chart" uri="{C3380CC4-5D6E-409C-BE32-E72D297353CC}">
                <c16:uniqueId val="{00000003-4AE1-4C61-9CBA-5B33CE9F77DD}"/>
              </c:ext>
            </c:extLst>
          </c:dPt>
          <c:dPt>
            <c:idx val="2"/>
            <c:bubble3D val="0"/>
            <c:spPr>
              <a:solidFill>
                <a:srgbClr val="0F9AA9"/>
              </a:solidFill>
              <a:ln>
                <a:solidFill>
                  <a:srgbClr val="FFFFFF"/>
                </a:solidFill>
              </a:ln>
            </c:spPr>
            <c:extLst>
              <c:ext xmlns:c16="http://schemas.microsoft.com/office/drawing/2014/chart" uri="{C3380CC4-5D6E-409C-BE32-E72D297353CC}">
                <c16:uniqueId val="{00000005-4AE1-4C61-9CBA-5B33CE9F77DD}"/>
              </c:ext>
            </c:extLst>
          </c:dPt>
          <c:dPt>
            <c:idx val="3"/>
            <c:bubble3D val="0"/>
            <c:spPr>
              <a:solidFill>
                <a:srgbClr val="E84A38"/>
              </a:solidFill>
              <a:ln>
                <a:solidFill>
                  <a:srgbClr val="FFFFFF"/>
                </a:solidFill>
              </a:ln>
            </c:spPr>
            <c:extLst>
              <c:ext xmlns:c16="http://schemas.microsoft.com/office/drawing/2014/chart" uri="{C3380CC4-5D6E-409C-BE32-E72D297353CC}">
                <c16:uniqueId val="{00000007-4AE1-4C61-9CBA-5B33CE9F77DD}"/>
              </c:ext>
            </c:extLst>
          </c:dPt>
          <c:dPt>
            <c:idx val="4"/>
            <c:bubble3D val="0"/>
            <c:spPr>
              <a:solidFill>
                <a:srgbClr val="FED825"/>
              </a:solidFill>
              <a:ln>
                <a:solidFill>
                  <a:srgbClr val="FFFFFF"/>
                </a:solidFill>
              </a:ln>
            </c:spPr>
            <c:extLst>
              <c:ext xmlns:c16="http://schemas.microsoft.com/office/drawing/2014/chart" uri="{C3380CC4-5D6E-409C-BE32-E72D297353CC}">
                <c16:uniqueId val="{00000009-4AE1-4C61-9CBA-5B33CE9F77DD}"/>
              </c:ext>
            </c:extLst>
          </c:dPt>
          <c:dPt>
            <c:idx val="5"/>
            <c:bubble3D val="0"/>
            <c:spPr>
              <a:solidFill>
                <a:srgbClr val="55585A"/>
              </a:solidFill>
              <a:ln>
                <a:solidFill>
                  <a:srgbClr val="FFFFFF"/>
                </a:solidFill>
              </a:ln>
            </c:spPr>
            <c:extLst>
              <c:ext xmlns:c16="http://schemas.microsoft.com/office/drawing/2014/chart" uri="{C3380CC4-5D6E-409C-BE32-E72D297353CC}">
                <c16:uniqueId val="{0000000B-4AE1-4C61-9CBA-5B33CE9F77DD}"/>
              </c:ext>
            </c:extLst>
          </c:dPt>
          <c:cat>
            <c:strRef>
              <c:f>'UK scallop dredge under 15m'!$B$77:$B$82</c:f>
              <c:strCache>
                <c:ptCount val="6"/>
                <c:pt idx="0">
                  <c:v>Cockles - 50.7%</c:v>
                </c:pt>
                <c:pt idx="1">
                  <c:v>Scallops - 40.8%</c:v>
                </c:pt>
                <c:pt idx="2">
                  <c:v>Queen Scallops - 2.3%</c:v>
                </c:pt>
                <c:pt idx="3">
                  <c:v>Manilla Clam - 0.9%</c:v>
                </c:pt>
                <c:pt idx="4">
                  <c:v>Cuttlefish - 0.9%</c:v>
                </c:pt>
                <c:pt idx="5">
                  <c:v>Others - 4.5%</c:v>
                </c:pt>
              </c:strCache>
            </c:strRef>
          </c:cat>
          <c:val>
            <c:numRef>
              <c:f>'UK scallop dredge under 15m'!$C$77:$C$82</c:f>
              <c:numCache>
                <c:formatCode>0.0%</c:formatCode>
                <c:ptCount val="6"/>
                <c:pt idx="0">
                  <c:v>0.50692333207351647</c:v>
                </c:pt>
                <c:pt idx="1">
                  <c:v>0.40784507514664858</c:v>
                </c:pt>
                <c:pt idx="2">
                  <c:v>2.3365221458669729E-2</c:v>
                </c:pt>
                <c:pt idx="3">
                  <c:v>8.687742429149237E-3</c:v>
                </c:pt>
                <c:pt idx="4">
                  <c:v>8.5861304962952401E-3</c:v>
                </c:pt>
                <c:pt idx="5">
                  <c:v>4.459249839572077E-2</c:v>
                </c:pt>
              </c:numCache>
            </c:numRef>
          </c:val>
          <c:extLst>
            <c:ext xmlns:c16="http://schemas.microsoft.com/office/drawing/2014/chart" uri="{C3380CC4-5D6E-409C-BE32-E72D297353CC}">
              <c16:uniqueId val="{0000000C-4AE1-4C61-9CBA-5B33CE9F77DD}"/>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under 15m'!$F$76</c:f>
          <c:strCache>
            <c:ptCount val="1"/>
            <c:pt idx="0">
              <c:v>Top 5 landed species by value in 2019
UK scallop dredge under 15m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90AE-437F-8A90-74B10652C462}"/>
              </c:ext>
            </c:extLst>
          </c:dPt>
          <c:dPt>
            <c:idx val="1"/>
            <c:bubble3D val="0"/>
            <c:spPr>
              <a:solidFill>
                <a:srgbClr val="E87308"/>
              </a:solidFill>
              <a:ln>
                <a:solidFill>
                  <a:srgbClr val="FFFFFF"/>
                </a:solidFill>
              </a:ln>
            </c:spPr>
            <c:extLst>
              <c:ext xmlns:c16="http://schemas.microsoft.com/office/drawing/2014/chart" uri="{C3380CC4-5D6E-409C-BE32-E72D297353CC}">
                <c16:uniqueId val="{00000003-90AE-437F-8A90-74B10652C462}"/>
              </c:ext>
            </c:extLst>
          </c:dPt>
          <c:dPt>
            <c:idx val="2"/>
            <c:bubble3D val="0"/>
            <c:spPr>
              <a:solidFill>
                <a:srgbClr val="648C2E"/>
              </a:solidFill>
              <a:ln>
                <a:solidFill>
                  <a:srgbClr val="FFFFFF"/>
                </a:solidFill>
              </a:ln>
            </c:spPr>
            <c:extLst>
              <c:ext xmlns:c16="http://schemas.microsoft.com/office/drawing/2014/chart" uri="{C3380CC4-5D6E-409C-BE32-E72D297353CC}">
                <c16:uniqueId val="{00000005-90AE-437F-8A90-74B10652C462}"/>
              </c:ext>
            </c:extLst>
          </c:dPt>
          <c:dPt>
            <c:idx val="3"/>
            <c:bubble3D val="0"/>
            <c:spPr>
              <a:solidFill>
                <a:srgbClr val="C1D119"/>
              </a:solidFill>
              <a:ln>
                <a:solidFill>
                  <a:srgbClr val="FFFFFF"/>
                </a:solidFill>
              </a:ln>
            </c:spPr>
            <c:extLst>
              <c:ext xmlns:c16="http://schemas.microsoft.com/office/drawing/2014/chart" uri="{C3380CC4-5D6E-409C-BE32-E72D297353CC}">
                <c16:uniqueId val="{00000007-90AE-437F-8A90-74B10652C462}"/>
              </c:ext>
            </c:extLst>
          </c:dPt>
          <c:dPt>
            <c:idx val="4"/>
            <c:bubble3D val="0"/>
            <c:spPr>
              <a:solidFill>
                <a:srgbClr val="E84A38"/>
              </a:solidFill>
              <a:ln>
                <a:solidFill>
                  <a:srgbClr val="FFFFFF"/>
                </a:solidFill>
              </a:ln>
            </c:spPr>
            <c:extLst>
              <c:ext xmlns:c16="http://schemas.microsoft.com/office/drawing/2014/chart" uri="{C3380CC4-5D6E-409C-BE32-E72D297353CC}">
                <c16:uniqueId val="{00000009-90AE-437F-8A90-74B10652C462}"/>
              </c:ext>
            </c:extLst>
          </c:dPt>
          <c:dPt>
            <c:idx val="5"/>
            <c:bubble3D val="0"/>
            <c:spPr>
              <a:solidFill>
                <a:srgbClr val="55585A"/>
              </a:solidFill>
              <a:ln>
                <a:solidFill>
                  <a:srgbClr val="FFFFFF"/>
                </a:solidFill>
              </a:ln>
            </c:spPr>
            <c:extLst>
              <c:ext xmlns:c16="http://schemas.microsoft.com/office/drawing/2014/chart" uri="{C3380CC4-5D6E-409C-BE32-E72D297353CC}">
                <c16:uniqueId val="{0000000B-90AE-437F-8A90-74B10652C462}"/>
              </c:ext>
            </c:extLst>
          </c:dPt>
          <c:cat>
            <c:strRef>
              <c:f>'UK scallop dredge under 15m'!$G$77:$G$82</c:f>
              <c:strCache>
                <c:ptCount val="6"/>
                <c:pt idx="0">
                  <c:v>Scallops - 51.5%</c:v>
                </c:pt>
                <c:pt idx="1">
                  <c:v>Cockles - 31.7%</c:v>
                </c:pt>
                <c:pt idx="2">
                  <c:v>Mussels - 2.4%</c:v>
                </c:pt>
                <c:pt idx="3">
                  <c:v>Sole - 2.3%</c:v>
                </c:pt>
                <c:pt idx="4">
                  <c:v>Manilla Clam - 2.1%</c:v>
                </c:pt>
                <c:pt idx="5">
                  <c:v>Others - 10.0%</c:v>
                </c:pt>
              </c:strCache>
            </c:strRef>
          </c:cat>
          <c:val>
            <c:numRef>
              <c:f>'UK scallop dredge under 15m'!$H$77:$H$82</c:f>
              <c:numCache>
                <c:formatCode>0.0%</c:formatCode>
                <c:ptCount val="6"/>
                <c:pt idx="0">
                  <c:v>0.51519515154658824</c:v>
                </c:pt>
                <c:pt idx="1">
                  <c:v>0.3168496362107564</c:v>
                </c:pt>
                <c:pt idx="2">
                  <c:v>2.4174034949927117E-2</c:v>
                </c:pt>
                <c:pt idx="3">
                  <c:v>2.2961552206092813E-2</c:v>
                </c:pt>
                <c:pt idx="4">
                  <c:v>2.1041070251040545E-2</c:v>
                </c:pt>
                <c:pt idx="5">
                  <c:v>9.9778554835594835E-2</c:v>
                </c:pt>
              </c:numCache>
            </c:numRef>
          </c:val>
          <c:extLst>
            <c:ext xmlns:c16="http://schemas.microsoft.com/office/drawing/2014/chart" uri="{C3380CC4-5D6E-409C-BE32-E72D297353CC}">
              <c16:uniqueId val="{0000000C-90AE-437F-8A90-74B10652C46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under 15m'!$K$77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'UK scallop dredge under 15m'!$C$92</c:f>
              <c:strCache>
                <c:ptCount val="1"/>
                <c:pt idx="0">
                  <c:v>Scallops</c:v>
                </c:pt>
              </c:strCache>
            </c:strRef>
          </c:tx>
          <c:spPr>
            <a:solidFill>
              <a:srgbClr val="2273B9"/>
            </a:solidFill>
            <a:ln>
              <a:solidFill>
                <a:srgbClr val="FFFFFF"/>
              </a:solidFill>
            </a:ln>
          </c:spPr>
          <c:invertIfNegative val="0"/>
          <c:cat>
            <c:numRef>
              <c:f>'UK scallop dredge under 15m'!$D$91:$M$91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'UK scallop dredge under 15m'!$D$92:$M$92</c:f>
              <c:numCache>
                <c:formatCode>0%</c:formatCode>
                <c:ptCount val="10"/>
                <c:pt idx="0">
                  <c:v>0.67880209036588246</c:v>
                </c:pt>
                <c:pt idx="1">
                  <c:v>0.78867670221226127</c:v>
                </c:pt>
                <c:pt idx="2">
                  <c:v>0.62817239922982482</c:v>
                </c:pt>
                <c:pt idx="3">
                  <c:v>0.58764601005496475</c:v>
                </c:pt>
                <c:pt idx="4">
                  <c:v>0.64152355260442473</c:v>
                </c:pt>
                <c:pt idx="5">
                  <c:v>0.74493555865772021</c:v>
                </c:pt>
                <c:pt idx="6">
                  <c:v>0.70645041176600065</c:v>
                </c:pt>
                <c:pt idx="7">
                  <c:v>0.6684537411584851</c:v>
                </c:pt>
                <c:pt idx="8">
                  <c:v>0.51519515154658824</c:v>
                </c:pt>
                <c:pt idx="9">
                  <c:v>0.52271428190419245</c:v>
                </c:pt>
              </c:numCache>
            </c:numRef>
          </c:val>
          <c:extLst>
            <c:ext xmlns:c16="http://schemas.microsoft.com/office/drawing/2014/chart" uri="{C3380CC4-5D6E-409C-BE32-E72D297353CC}">
              <c16:uniqueId val="{00000000-C62C-4704-BEA2-99487089FBBF}"/>
            </c:ext>
          </c:extLst>
        </c:ser>
        <c:ser>
          <c:idx val="1"/>
          <c:order val="1"/>
          <c:tx>
            <c:strRef>
              <c:f>'UK scallop dredge under 15m'!$C$93</c:f>
              <c:strCache>
                <c:ptCount val="1"/>
                <c:pt idx="0">
                  <c:v>Cockles</c:v>
                </c:pt>
              </c:strCache>
            </c:strRef>
          </c:tx>
          <c:spPr>
            <a:solidFill>
              <a:srgbClr val="E87308"/>
            </a:solidFill>
            <a:ln>
              <a:solidFill>
                <a:srgbClr val="FFFFFF"/>
              </a:solidFill>
            </a:ln>
          </c:spPr>
          <c:invertIfNegative val="0"/>
          <c:cat>
            <c:numRef>
              <c:f>'UK scallop dredge under 15m'!$D$91:$M$91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'UK scallop dredge under 15m'!$D$93:$M$93</c:f>
              <c:numCache>
                <c:formatCode>0%</c:formatCode>
                <c:ptCount val="10"/>
                <c:pt idx="0">
                  <c:v>0.11717420787158288</c:v>
                </c:pt>
                <c:pt idx="1">
                  <c:v>4.8471725446773438E-2</c:v>
                </c:pt>
                <c:pt idx="2">
                  <c:v>0.20863348629009296</c:v>
                </c:pt>
                <c:pt idx="3">
                  <c:v>0.30023936520980943</c:v>
                </c:pt>
                <c:pt idx="4">
                  <c:v>0.19686152009018201</c:v>
                </c:pt>
                <c:pt idx="5">
                  <c:v>0.12233488914876457</c:v>
                </c:pt>
                <c:pt idx="6">
                  <c:v>0.13547984459816786</c:v>
                </c:pt>
                <c:pt idx="7">
                  <c:v>0.19798146267145555</c:v>
                </c:pt>
                <c:pt idx="8">
                  <c:v>0.3168496362107564</c:v>
                </c:pt>
                <c:pt idx="9">
                  <c:v>0.32657120363887476</c:v>
                </c:pt>
              </c:numCache>
            </c:numRef>
          </c:val>
          <c:extLst>
            <c:ext xmlns:c16="http://schemas.microsoft.com/office/drawing/2014/chart" uri="{C3380CC4-5D6E-409C-BE32-E72D297353CC}">
              <c16:uniqueId val="{00000001-C62C-4704-BEA2-99487089FBBF}"/>
            </c:ext>
          </c:extLst>
        </c:ser>
        <c:ser>
          <c:idx val="2"/>
          <c:order val="2"/>
          <c:tx>
            <c:strRef>
              <c:f>'UK scallop dredge under 15m'!$C$94</c:f>
              <c:strCache>
                <c:ptCount val="1"/>
                <c:pt idx="0">
                  <c:v>Mussels</c:v>
                </c:pt>
              </c:strCache>
            </c:strRef>
          </c:tx>
          <c:spPr>
            <a:solidFill>
              <a:srgbClr val="648C2E"/>
            </a:solidFill>
            <a:ln>
              <a:solidFill>
                <a:srgbClr val="FFFFFF"/>
              </a:solidFill>
            </a:ln>
          </c:spPr>
          <c:invertIfNegative val="0"/>
          <c:cat>
            <c:numRef>
              <c:f>'UK scallop dredge under 15m'!$D$91:$M$91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'UK scallop dredge under 15m'!$D$94:$M$94</c:f>
              <c:numCache>
                <c:formatCode>0%</c:formatCode>
                <c:ptCount val="10"/>
                <c:pt idx="4">
                  <c:v>2.7760692307386488E-2</c:v>
                </c:pt>
                <c:pt idx="8">
                  <c:v>2.4174034949927117E-2</c:v>
                </c:pt>
              </c:numCache>
            </c:numRef>
          </c:val>
          <c:extLst>
            <c:ext xmlns:c16="http://schemas.microsoft.com/office/drawing/2014/chart" uri="{C3380CC4-5D6E-409C-BE32-E72D297353CC}">
              <c16:uniqueId val="{00000002-C62C-4704-BEA2-99487089FBBF}"/>
            </c:ext>
          </c:extLst>
        </c:ser>
        <c:ser>
          <c:idx val="3"/>
          <c:order val="3"/>
          <c:tx>
            <c:strRef>
              <c:f>'UK scallop dredge under 15m'!$C$95</c:f>
              <c:strCache>
                <c:ptCount val="1"/>
                <c:pt idx="0">
                  <c:v>Sole</c:v>
                </c:pt>
              </c:strCache>
            </c:strRef>
          </c:tx>
          <c:spPr>
            <a:solidFill>
              <a:srgbClr val="C1D119"/>
            </a:solidFill>
            <a:ln>
              <a:solidFill>
                <a:srgbClr val="FFFFFF"/>
              </a:solidFill>
            </a:ln>
          </c:spPr>
          <c:invertIfNegative val="0"/>
          <c:cat>
            <c:numRef>
              <c:f>'UK scallop dredge under 15m'!$D$91:$M$91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'UK scallop dredge under 15m'!$D$95:$M$95</c:f>
              <c:numCache>
                <c:formatCode>0%</c:formatCode>
                <c:ptCount val="10"/>
                <c:pt idx="0">
                  <c:v>1.9017538318456817E-2</c:v>
                </c:pt>
                <c:pt idx="2">
                  <c:v>1.0927562568264619E-2</c:v>
                </c:pt>
                <c:pt idx="8">
                  <c:v>2.2961552206092813E-2</c:v>
                </c:pt>
                <c:pt idx="9">
                  <c:v>1.8429903600941034E-2</c:v>
                </c:pt>
              </c:numCache>
            </c:numRef>
          </c:val>
          <c:extLst>
            <c:ext xmlns:c16="http://schemas.microsoft.com/office/drawing/2014/chart" uri="{C3380CC4-5D6E-409C-BE32-E72D297353CC}">
              <c16:uniqueId val="{00000003-C62C-4704-BEA2-99487089FBBF}"/>
            </c:ext>
          </c:extLst>
        </c:ser>
        <c:ser>
          <c:idx val="4"/>
          <c:order val="4"/>
          <c:tx>
            <c:strRef>
              <c:f>'UK scallop dredge under 15m'!$C$96</c:f>
              <c:strCache>
                <c:ptCount val="1"/>
                <c:pt idx="0">
                  <c:v>Manilla Clam</c:v>
                </c:pt>
              </c:strCache>
            </c:strRef>
          </c:tx>
          <c:spPr>
            <a:solidFill>
              <a:srgbClr val="E84A38"/>
            </a:solidFill>
            <a:ln>
              <a:solidFill>
                <a:srgbClr val="FFFFFF"/>
              </a:solidFill>
            </a:ln>
          </c:spPr>
          <c:invertIfNegative val="0"/>
          <c:cat>
            <c:numRef>
              <c:f>'UK scallop dredge under 15m'!$D$91:$M$91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'UK scallop dredge under 15m'!$D$96:$M$96</c:f>
              <c:numCache>
                <c:formatCode>0%</c:formatCode>
                <c:ptCount val="10"/>
                <c:pt idx="0">
                  <c:v>2.7726460863381919E-2</c:v>
                </c:pt>
                <c:pt idx="1">
                  <c:v>2.1093047312016645E-2</c:v>
                </c:pt>
                <c:pt idx="2">
                  <c:v>1.2119588158582566E-2</c:v>
                </c:pt>
                <c:pt idx="3">
                  <c:v>1.0334909089839974E-2</c:v>
                </c:pt>
                <c:pt idx="4">
                  <c:v>2.5785374445804594E-2</c:v>
                </c:pt>
                <c:pt idx="5">
                  <c:v>1.7788174974041282E-2</c:v>
                </c:pt>
                <c:pt idx="6">
                  <c:v>1.7076207856514494E-2</c:v>
                </c:pt>
                <c:pt idx="7">
                  <c:v>2.1108349993125816E-2</c:v>
                </c:pt>
                <c:pt idx="8">
                  <c:v>2.1041070251040545E-2</c:v>
                </c:pt>
                <c:pt idx="9">
                  <c:v>3.6441354376989865E-2</c:v>
                </c:pt>
              </c:numCache>
            </c:numRef>
          </c:val>
          <c:extLst>
            <c:ext xmlns:c16="http://schemas.microsoft.com/office/drawing/2014/chart" uri="{C3380CC4-5D6E-409C-BE32-E72D297353CC}">
              <c16:uniqueId val="{00000004-C62C-4704-BEA2-99487089FBBF}"/>
            </c:ext>
          </c:extLst>
        </c:ser>
        <c:ser>
          <c:idx val="5"/>
          <c:order val="5"/>
          <c:tx>
            <c:strRef>
              <c:f>'UK scallop dredge under 15m'!$C$97</c:f>
              <c:strCache>
                <c:ptCount val="1"/>
                <c:pt idx="0">
                  <c:v>Queen Scallops</c:v>
                </c:pt>
              </c:strCache>
            </c:strRef>
          </c:tx>
          <c:spPr>
            <a:solidFill>
              <a:srgbClr val="0F9AA9"/>
            </a:solidFill>
            <a:ln>
              <a:solidFill>
                <a:srgbClr val="FFFFFF"/>
              </a:solidFill>
            </a:ln>
          </c:spPr>
          <c:invertIfNegative val="0"/>
          <c:cat>
            <c:numRef>
              <c:f>'UK scallop dredge under 15m'!$D$91:$M$91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'UK scallop dredge under 15m'!$D$97:$M$97</c:f>
              <c:numCache>
                <c:formatCode>0%</c:formatCode>
                <c:ptCount val="10"/>
                <c:pt idx="0">
                  <c:v>5.6617633983921674E-2</c:v>
                </c:pt>
                <c:pt idx="1">
                  <c:v>5.365085951782942E-2</c:v>
                </c:pt>
                <c:pt idx="2">
                  <c:v>6.689289940242453E-2</c:v>
                </c:pt>
                <c:pt idx="3">
                  <c:v>3.5317946210666487E-2</c:v>
                </c:pt>
                <c:pt idx="4">
                  <c:v>4.1250719681486053E-2</c:v>
                </c:pt>
                <c:pt idx="5">
                  <c:v>4.1984327327435227E-2</c:v>
                </c:pt>
                <c:pt idx="6">
                  <c:v>3.9747335517461936E-2</c:v>
                </c:pt>
                <c:pt idx="7">
                  <c:v>2.4486952070146485E-2</c:v>
                </c:pt>
                <c:pt idx="9">
                  <c:v>1.9514610073140908E-2</c:v>
                </c:pt>
              </c:numCache>
            </c:numRef>
          </c:val>
          <c:extLst>
            <c:ext xmlns:c16="http://schemas.microsoft.com/office/drawing/2014/chart" uri="{C3380CC4-5D6E-409C-BE32-E72D297353CC}">
              <c16:uniqueId val="{00000005-C62C-4704-BEA2-99487089FBBF}"/>
            </c:ext>
          </c:extLst>
        </c:ser>
        <c:ser>
          <c:idx val="6"/>
          <c:order val="6"/>
          <c:tx>
            <c:strRef>
              <c:f>'UK scallop dredge under 15m'!$C$98</c:f>
              <c:strCache>
                <c:ptCount val="1"/>
                <c:pt idx="0">
                  <c:v>Razor Clam</c:v>
                </c:pt>
              </c:strCache>
            </c:strRef>
          </c:tx>
          <c:spPr>
            <a:solidFill>
              <a:srgbClr val="FED825"/>
            </a:solidFill>
            <a:ln>
              <a:solidFill>
                <a:srgbClr val="FFFFFF"/>
              </a:solidFill>
            </a:ln>
          </c:spPr>
          <c:invertIfNegative val="0"/>
          <c:cat>
            <c:numRef>
              <c:f>'UK scallop dredge under 15m'!$D$91:$M$91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'UK scallop dredge under 15m'!$D$98:$M$98</c:f>
              <c:numCache>
                <c:formatCode>0%</c:formatCode>
                <c:ptCount val="10"/>
                <c:pt idx="6">
                  <c:v>1.5519442079912564E-2</c:v>
                </c:pt>
                <c:pt idx="7">
                  <c:v>1.268155529860091E-2</c:v>
                </c:pt>
              </c:numCache>
            </c:numRef>
          </c:val>
          <c:extLst>
            <c:ext xmlns:c16="http://schemas.microsoft.com/office/drawing/2014/chart" uri="{C3380CC4-5D6E-409C-BE32-E72D297353CC}">
              <c16:uniqueId val="{00000006-C62C-4704-BEA2-99487089FBBF}"/>
            </c:ext>
          </c:extLst>
        </c:ser>
        <c:ser>
          <c:idx val="7"/>
          <c:order val="7"/>
          <c:tx>
            <c:strRef>
              <c:f>'UK scallop dredge under 15m'!$C$99</c:f>
              <c:strCache>
                <c:ptCount val="1"/>
                <c:pt idx="0">
                  <c:v>Nephrops</c:v>
                </c:pt>
              </c:strCache>
            </c:strRef>
          </c:tx>
          <c:spPr>
            <a:solidFill>
              <a:srgbClr val="707271"/>
            </a:solidFill>
            <a:ln>
              <a:solidFill>
                <a:srgbClr val="FFFFFF"/>
              </a:solidFill>
            </a:ln>
          </c:spPr>
          <c:invertIfNegative val="0"/>
          <c:cat>
            <c:numRef>
              <c:f>'UK scallop dredge under 15m'!$D$91:$M$91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'UK scallop dredge under 15m'!$D$99:$M$99</c:f>
              <c:numCache>
                <c:formatCode>0%</c:formatCode>
                <c:ptCount val="10"/>
                <c:pt idx="1">
                  <c:v>2.0845430011821271E-2</c:v>
                </c:pt>
                <c:pt idx="3">
                  <c:v>7.6106346343076245E-3</c:v>
                </c:pt>
                <c:pt idx="5">
                  <c:v>1.3414432075319161E-2</c:v>
                </c:pt>
              </c:numCache>
            </c:numRef>
          </c:val>
          <c:extLst>
            <c:ext xmlns:c16="http://schemas.microsoft.com/office/drawing/2014/chart" uri="{C3380CC4-5D6E-409C-BE32-E72D297353CC}">
              <c16:uniqueId val="{00000007-C62C-4704-BEA2-99487089FBBF}"/>
            </c:ext>
          </c:extLst>
        </c:ser>
        <c:ser>
          <c:idx val="8"/>
          <c:order val="8"/>
          <c:tx>
            <c:strRef>
              <c:f>'UK scallop dredge under 15m'!$C$100</c:f>
              <c:strCache>
                <c:ptCount val="1"/>
                <c:pt idx="0">
                  <c:v>Others</c:v>
                </c:pt>
              </c:strCache>
            </c:strRef>
          </c:tx>
          <c:spPr>
            <a:solidFill>
              <a:srgbClr val="55585A"/>
            </a:solidFill>
            <a:ln>
              <a:solidFill>
                <a:srgbClr val="FFFFFF"/>
              </a:solidFill>
            </a:ln>
          </c:spPr>
          <c:invertIfNegative val="0"/>
          <c:cat>
            <c:numRef>
              <c:f>'UK scallop dredge under 15m'!$D$91:$M$91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'UK scallop dredge under 15m'!$D$100:$M$100</c:f>
              <c:numCache>
                <c:formatCode>0%</c:formatCode>
                <c:ptCount val="10"/>
                <c:pt idx="0">
                  <c:v>0.10066206859677429</c:v>
                </c:pt>
                <c:pt idx="1">
                  <c:v>6.7262235499297995E-2</c:v>
                </c:pt>
                <c:pt idx="2">
                  <c:v>7.3254064350810527E-2</c:v>
                </c:pt>
                <c:pt idx="3">
                  <c:v>5.8851134800411785E-2</c:v>
                </c:pt>
                <c:pt idx="4">
                  <c:v>6.6818140870716108E-2</c:v>
                </c:pt>
                <c:pt idx="5">
                  <c:v>5.9542617816719517E-2</c:v>
                </c:pt>
                <c:pt idx="6">
                  <c:v>8.5726758181942517E-2</c:v>
                </c:pt>
                <c:pt idx="7">
                  <c:v>7.52879388081861E-2</c:v>
                </c:pt>
                <c:pt idx="8">
                  <c:v>9.9778554835594863E-2</c:v>
                </c:pt>
                <c:pt idx="9">
                  <c:v>7.6328646405860942E-2</c:v>
                </c:pt>
              </c:numCache>
            </c:numRef>
          </c:val>
          <c:extLst>
            <c:ext xmlns:c16="http://schemas.microsoft.com/office/drawing/2014/chart" uri="{C3380CC4-5D6E-409C-BE32-E72D297353CC}">
              <c16:uniqueId val="{00000008-C62C-4704-BEA2-99487089FBBF}"/>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'UK scallop dredge under 15m'!$B$162</c:f>
              <c:strCache>
                <c:ptCount val="1"/>
                <c:pt idx="0">
                  <c:v>Scallops</c:v>
                </c:pt>
              </c:strCache>
            </c:strRef>
          </c:tx>
          <c:spPr>
            <a:solidFill>
              <a:srgbClr val="2273B9"/>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15m'!$C$162:$E$162</c:f>
              <c:numCache>
                <c:formatCode>0%</c:formatCode>
                <c:ptCount val="3"/>
                <c:pt idx="0">
                  <c:v>0.1626923844115801</c:v>
                </c:pt>
                <c:pt idx="1">
                  <c:v>0.82299954488336735</c:v>
                </c:pt>
                <c:pt idx="2">
                  <c:v>0.60738875450219365</c:v>
                </c:pt>
              </c:numCache>
            </c:numRef>
          </c:val>
          <c:extLst>
            <c:ext xmlns:c16="http://schemas.microsoft.com/office/drawing/2014/chart" uri="{C3380CC4-5D6E-409C-BE32-E72D297353CC}">
              <c16:uniqueId val="{00000000-EBB5-413A-A445-88ED03BC1E54}"/>
            </c:ext>
          </c:extLst>
        </c:ser>
        <c:ser>
          <c:idx val="1"/>
          <c:order val="1"/>
          <c:tx>
            <c:strRef>
              <c:f>'UK scallop dredge under 15m'!$B$163</c:f>
              <c:strCache>
                <c:ptCount val="1"/>
                <c:pt idx="0">
                  <c:v>Queen Scallops</c:v>
                </c:pt>
              </c:strCache>
            </c:strRef>
          </c:tx>
          <c:spPr>
            <a:solidFill>
              <a:srgbClr val="0F9AA9"/>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15m'!$C$163:$E$163</c:f>
              <c:numCache>
                <c:formatCode>0%</c:formatCode>
                <c:ptCount val="3"/>
                <c:pt idx="0">
                  <c:v>0</c:v>
                </c:pt>
                <c:pt idx="1">
                  <c:v>6.045887793198701E-2</c:v>
                </c:pt>
                <c:pt idx="2">
                  <c:v>1.9080339927215764E-2</c:v>
                </c:pt>
              </c:numCache>
            </c:numRef>
          </c:val>
          <c:extLst>
            <c:ext xmlns:c16="http://schemas.microsoft.com/office/drawing/2014/chart" uri="{C3380CC4-5D6E-409C-BE32-E72D297353CC}">
              <c16:uniqueId val="{00000001-EBB5-413A-A445-88ED03BC1E54}"/>
            </c:ext>
          </c:extLst>
        </c:ser>
        <c:ser>
          <c:idx val="2"/>
          <c:order val="2"/>
          <c:tx>
            <c:strRef>
              <c:f>'UK scallop dredge under 15m'!$B$164</c:f>
              <c:strCache>
                <c:ptCount val="1"/>
                <c:pt idx="0">
                  <c:v>Cockles</c:v>
                </c:pt>
              </c:strCache>
            </c:strRef>
          </c:tx>
          <c:spPr>
            <a:solidFill>
              <a:srgbClr val="E87308"/>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15m'!$C$164:$E$164</c:f>
              <c:numCache>
                <c:formatCode>0%</c:formatCode>
                <c:ptCount val="3"/>
                <c:pt idx="0">
                  <c:v>0.79907699346793915</c:v>
                </c:pt>
                <c:pt idx="1">
                  <c:v>4.5872165383443415E-2</c:v>
                </c:pt>
                <c:pt idx="2">
                  <c:v>0.22087549031409029</c:v>
                </c:pt>
              </c:numCache>
            </c:numRef>
          </c:val>
          <c:extLst>
            <c:ext xmlns:c16="http://schemas.microsoft.com/office/drawing/2014/chart" uri="{C3380CC4-5D6E-409C-BE32-E72D297353CC}">
              <c16:uniqueId val="{00000002-EBB5-413A-A445-88ED03BC1E54}"/>
            </c:ext>
          </c:extLst>
        </c:ser>
        <c:ser>
          <c:idx val="3"/>
          <c:order val="3"/>
          <c:tx>
            <c:strRef>
              <c:f>'UK scallop dredge under 15m'!$B$165</c:f>
              <c:strCache>
                <c:ptCount val="1"/>
                <c:pt idx="0">
                  <c:v>Manilla Clam</c:v>
                </c:pt>
              </c:strCache>
            </c:strRef>
          </c:tx>
          <c:spPr>
            <a:solidFill>
              <a:srgbClr val="E84A38"/>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15m'!$C$165:$E$165</c:f>
              <c:numCache>
                <c:formatCode>0%</c:formatCode>
                <c:ptCount val="3"/>
                <c:pt idx="0">
                  <c:v>0</c:v>
                </c:pt>
                <c:pt idx="1">
                  <c:v>1.6601598481881689E-2</c:v>
                </c:pt>
                <c:pt idx="2">
                  <c:v>3.6695233022895228E-2</c:v>
                </c:pt>
              </c:numCache>
            </c:numRef>
          </c:val>
          <c:extLst>
            <c:ext xmlns:c16="http://schemas.microsoft.com/office/drawing/2014/chart" uri="{C3380CC4-5D6E-409C-BE32-E72D297353CC}">
              <c16:uniqueId val="{00000003-EBB5-413A-A445-88ED03BC1E54}"/>
            </c:ext>
          </c:extLst>
        </c:ser>
        <c:ser>
          <c:idx val="4"/>
          <c:order val="4"/>
          <c:tx>
            <c:strRef>
              <c:f>'UK scallop dredge under 15m'!$B$166</c:f>
              <c:strCache>
                <c:ptCount val="1"/>
                <c:pt idx="0">
                  <c:v>Cuttlefish</c:v>
                </c:pt>
              </c:strCache>
            </c:strRef>
          </c:tx>
          <c:spPr>
            <a:solidFill>
              <a:srgbClr val="FED825"/>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15m'!$C$166:$E$166</c:f>
              <c:numCache>
                <c:formatCode>0%</c:formatCode>
                <c:ptCount val="3"/>
                <c:pt idx="0">
                  <c:v>4.643203018136176E-3</c:v>
                </c:pt>
                <c:pt idx="1">
                  <c:v>1.2316242365987868E-2</c:v>
                </c:pt>
                <c:pt idx="2">
                  <c:v>2.5001982204976018E-2</c:v>
                </c:pt>
              </c:numCache>
            </c:numRef>
          </c:val>
          <c:extLst>
            <c:ext xmlns:c16="http://schemas.microsoft.com/office/drawing/2014/chart" uri="{C3380CC4-5D6E-409C-BE32-E72D297353CC}">
              <c16:uniqueId val="{00000004-EBB5-413A-A445-88ED03BC1E54}"/>
            </c:ext>
          </c:extLst>
        </c:ser>
        <c:ser>
          <c:idx val="5"/>
          <c:order val="5"/>
          <c:tx>
            <c:strRef>
              <c:f>'UK scallop dredge under 15m'!$B$167</c:f>
              <c:strCache>
                <c:ptCount val="1"/>
                <c:pt idx="0">
                  <c:v>Mussels</c:v>
                </c:pt>
              </c:strCache>
            </c:strRef>
          </c:tx>
          <c:spPr>
            <a:solidFill>
              <a:srgbClr val="648C2E"/>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15m'!$C$167:$E$167</c:f>
              <c:numCache>
                <c:formatCode>0%</c:formatCode>
                <c:ptCount val="3"/>
                <c:pt idx="0">
                  <c:v>5.8094355147642121E-3</c:v>
                </c:pt>
                <c:pt idx="1">
                  <c:v>0</c:v>
                </c:pt>
                <c:pt idx="2">
                  <c:v>0</c:v>
                </c:pt>
              </c:numCache>
            </c:numRef>
          </c:val>
          <c:extLst>
            <c:ext xmlns:c16="http://schemas.microsoft.com/office/drawing/2014/chart" uri="{C3380CC4-5D6E-409C-BE32-E72D297353CC}">
              <c16:uniqueId val="{00000005-EBB5-413A-A445-88ED03BC1E54}"/>
            </c:ext>
          </c:extLst>
        </c:ser>
        <c:ser>
          <c:idx val="6"/>
          <c:order val="6"/>
          <c:tx>
            <c:strRef>
              <c:f>'UK scallop dredge under 15m'!$B$168</c:f>
              <c:strCache>
                <c:ptCount val="1"/>
                <c:pt idx="0">
                  <c:v>Razor Clam</c:v>
                </c:pt>
              </c:strCache>
            </c:strRef>
          </c:tx>
          <c:spPr>
            <a:solidFill>
              <a:srgbClr val="707271"/>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15m'!$C$168:$E$168</c:f>
              <c:numCache>
                <c:formatCode>0%</c:formatCode>
                <c:ptCount val="3"/>
                <c:pt idx="0">
                  <c:v>5.2049681737466992E-3</c:v>
                </c:pt>
                <c:pt idx="1">
                  <c:v>0</c:v>
                </c:pt>
                <c:pt idx="2">
                  <c:v>0</c:v>
                </c:pt>
              </c:numCache>
            </c:numRef>
          </c:val>
          <c:extLst>
            <c:ext xmlns:c16="http://schemas.microsoft.com/office/drawing/2014/chart" uri="{C3380CC4-5D6E-409C-BE32-E72D297353CC}">
              <c16:uniqueId val="{00000006-EBB5-413A-A445-88ED03BC1E54}"/>
            </c:ext>
          </c:extLst>
        </c:ser>
        <c:ser>
          <c:idx val="7"/>
          <c:order val="7"/>
          <c:tx>
            <c:strRef>
              <c:f>'UK scallop dredge under 15m'!$B$169</c:f>
              <c:strCache>
                <c:ptCount val="1"/>
                <c:pt idx="0">
                  <c:v>Others</c:v>
                </c:pt>
              </c:strCache>
            </c:strRef>
          </c:tx>
          <c:spPr>
            <a:solidFill>
              <a:srgbClr val="55585A"/>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15m'!$C$169:$E$169</c:f>
              <c:numCache>
                <c:formatCode>0%</c:formatCode>
                <c:ptCount val="3"/>
                <c:pt idx="0">
                  <c:v>2.2573015413833719E-2</c:v>
                </c:pt>
                <c:pt idx="1">
                  <c:v>4.1751570953332706E-2</c:v>
                </c:pt>
                <c:pt idx="2">
                  <c:v>9.0958200028628977E-2</c:v>
                </c:pt>
              </c:numCache>
            </c:numRef>
          </c:val>
          <c:extLst>
            <c:ext xmlns:c16="http://schemas.microsoft.com/office/drawing/2014/chart" uri="{C3380CC4-5D6E-409C-BE32-E72D297353CC}">
              <c16:uniqueId val="{00000007-EBB5-413A-A445-88ED03BC1E54}"/>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'UK scallop dredge under 15m'!$H$162</c:f>
              <c:strCache>
                <c:ptCount val="1"/>
                <c:pt idx="0">
                  <c:v>Scallops</c:v>
                </c:pt>
              </c:strCache>
            </c:strRef>
          </c:tx>
          <c:spPr>
            <a:solidFill>
              <a:srgbClr val="2273B9"/>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15m'!$I$162:$K$162</c:f>
              <c:numCache>
                <c:formatCode>0%</c:formatCode>
                <c:ptCount val="3"/>
                <c:pt idx="0">
                  <c:v>0.24911367987968988</c:v>
                </c:pt>
                <c:pt idx="1">
                  <c:v>0.82455382049204962</c:v>
                </c:pt>
                <c:pt idx="2">
                  <c:v>0.66820177146841508</c:v>
                </c:pt>
              </c:numCache>
            </c:numRef>
          </c:val>
          <c:extLst>
            <c:ext xmlns:c16="http://schemas.microsoft.com/office/drawing/2014/chart" uri="{C3380CC4-5D6E-409C-BE32-E72D297353CC}">
              <c16:uniqueId val="{00000000-D277-431C-88B2-213BE53602F2}"/>
            </c:ext>
          </c:extLst>
        </c:ser>
        <c:ser>
          <c:idx val="1"/>
          <c:order val="1"/>
          <c:tx>
            <c:strRef>
              <c:f>'UK scallop dredge under 15m'!$H$163</c:f>
              <c:strCache>
                <c:ptCount val="1"/>
                <c:pt idx="0">
                  <c:v>Sole</c:v>
                </c:pt>
              </c:strCache>
            </c:strRef>
          </c:tx>
          <c:spPr>
            <a:solidFill>
              <a:srgbClr val="C1D119"/>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15m'!$I$163:$K$163</c:f>
              <c:numCache>
                <c:formatCode>0%</c:formatCode>
                <c:ptCount val="3"/>
                <c:pt idx="0">
                  <c:v>0</c:v>
                </c:pt>
                <c:pt idx="1">
                  <c:v>3.9607574111183347E-2</c:v>
                </c:pt>
                <c:pt idx="2">
                  <c:v>3.7474300859895546E-2</c:v>
                </c:pt>
              </c:numCache>
            </c:numRef>
          </c:val>
          <c:extLst>
            <c:ext xmlns:c16="http://schemas.microsoft.com/office/drawing/2014/chart" uri="{C3380CC4-5D6E-409C-BE32-E72D297353CC}">
              <c16:uniqueId val="{00000001-D277-431C-88B2-213BE53602F2}"/>
            </c:ext>
          </c:extLst>
        </c:ser>
        <c:ser>
          <c:idx val="2"/>
          <c:order val="2"/>
          <c:tx>
            <c:strRef>
              <c:f>'UK scallop dredge under 15m'!$H$164</c:f>
              <c:strCache>
                <c:ptCount val="1"/>
                <c:pt idx="0">
                  <c:v>Queen Scallops</c:v>
                </c:pt>
              </c:strCache>
            </c:strRef>
          </c:tx>
          <c:spPr>
            <a:solidFill>
              <a:srgbClr val="0F9AA9"/>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15m'!$I$164:$K$164</c:f>
              <c:numCache>
                <c:formatCode>0%</c:formatCode>
                <c:ptCount val="3"/>
                <c:pt idx="0">
                  <c:v>0</c:v>
                </c:pt>
                <c:pt idx="1">
                  <c:v>3.5690477814442845E-2</c:v>
                </c:pt>
                <c:pt idx="2">
                  <c:v>0</c:v>
                </c:pt>
              </c:numCache>
            </c:numRef>
          </c:val>
          <c:extLst>
            <c:ext xmlns:c16="http://schemas.microsoft.com/office/drawing/2014/chart" uri="{C3380CC4-5D6E-409C-BE32-E72D297353CC}">
              <c16:uniqueId val="{00000002-D277-431C-88B2-213BE53602F2}"/>
            </c:ext>
          </c:extLst>
        </c:ser>
        <c:ser>
          <c:idx val="3"/>
          <c:order val="3"/>
          <c:tx>
            <c:strRef>
              <c:f>'UK scallop dredge under 15m'!$H$165</c:f>
              <c:strCache>
                <c:ptCount val="1"/>
                <c:pt idx="0">
                  <c:v>Manilla Clam</c:v>
                </c:pt>
              </c:strCache>
            </c:strRef>
          </c:tx>
          <c:spPr>
            <a:solidFill>
              <a:srgbClr val="E84A38"/>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15m'!$I$165:$K$165</c:f>
              <c:numCache>
                <c:formatCode>0%</c:formatCode>
                <c:ptCount val="3"/>
                <c:pt idx="0">
                  <c:v>0</c:v>
                </c:pt>
                <c:pt idx="1">
                  <c:v>3.1930093714737193E-2</c:v>
                </c:pt>
                <c:pt idx="2">
                  <c:v>7.7846705950302367E-2</c:v>
                </c:pt>
              </c:numCache>
            </c:numRef>
          </c:val>
          <c:extLst>
            <c:ext xmlns:c16="http://schemas.microsoft.com/office/drawing/2014/chart" uri="{C3380CC4-5D6E-409C-BE32-E72D297353CC}">
              <c16:uniqueId val="{00000003-D277-431C-88B2-213BE53602F2}"/>
            </c:ext>
          </c:extLst>
        </c:ser>
        <c:ser>
          <c:idx val="4"/>
          <c:order val="4"/>
          <c:tx>
            <c:strRef>
              <c:f>'UK scallop dredge under 15m'!$H$166</c:f>
              <c:strCache>
                <c:ptCount val="1"/>
                <c:pt idx="0">
                  <c:v>Cuttlefish</c:v>
                </c:pt>
              </c:strCache>
            </c:strRef>
          </c:tx>
          <c:spPr>
            <a:solidFill>
              <a:srgbClr val="FED825"/>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15m'!$I$166:$K$166</c:f>
              <c:numCache>
                <c:formatCode>0%</c:formatCode>
                <c:ptCount val="3"/>
                <c:pt idx="0">
                  <c:v>0</c:v>
                </c:pt>
                <c:pt idx="1">
                  <c:v>1.5305154800409298E-2</c:v>
                </c:pt>
                <c:pt idx="2">
                  <c:v>3.2861627303868393E-2</c:v>
                </c:pt>
              </c:numCache>
            </c:numRef>
          </c:val>
          <c:extLst>
            <c:ext xmlns:c16="http://schemas.microsoft.com/office/drawing/2014/chart" uri="{C3380CC4-5D6E-409C-BE32-E72D297353CC}">
              <c16:uniqueId val="{00000004-D277-431C-88B2-213BE53602F2}"/>
            </c:ext>
          </c:extLst>
        </c:ser>
        <c:ser>
          <c:idx val="5"/>
          <c:order val="5"/>
          <c:tx>
            <c:strRef>
              <c:f>'UK scallop dredge under 15m'!$H$167</c:f>
              <c:strCache>
                <c:ptCount val="1"/>
                <c:pt idx="0">
                  <c:v>Cockles</c:v>
                </c:pt>
              </c:strCache>
            </c:strRef>
          </c:tx>
          <c:spPr>
            <a:solidFill>
              <a:srgbClr val="E87308"/>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15m'!$I$167:$K$167</c:f>
              <c:numCache>
                <c:formatCode>0%</c:formatCode>
                <c:ptCount val="3"/>
                <c:pt idx="0">
                  <c:v>0.61770927200675319</c:v>
                </c:pt>
                <c:pt idx="1">
                  <c:v>0</c:v>
                </c:pt>
                <c:pt idx="2">
                  <c:v>5.3882069297017346E-2</c:v>
                </c:pt>
              </c:numCache>
            </c:numRef>
          </c:val>
          <c:extLst>
            <c:ext xmlns:c16="http://schemas.microsoft.com/office/drawing/2014/chart" uri="{C3380CC4-5D6E-409C-BE32-E72D297353CC}">
              <c16:uniqueId val="{00000005-D277-431C-88B2-213BE53602F2}"/>
            </c:ext>
          </c:extLst>
        </c:ser>
        <c:ser>
          <c:idx val="6"/>
          <c:order val="6"/>
          <c:tx>
            <c:strRef>
              <c:f>'UK scallop dredge under 15m'!$H$168</c:f>
              <c:strCache>
                <c:ptCount val="1"/>
                <c:pt idx="0">
                  <c:v>Mussels</c:v>
                </c:pt>
              </c:strCache>
            </c:strRef>
          </c:tx>
          <c:spPr>
            <a:solidFill>
              <a:srgbClr val="648C2E"/>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15m'!$I$168:$K$168</c:f>
              <c:numCache>
                <c:formatCode>0%</c:formatCode>
                <c:ptCount val="3"/>
                <c:pt idx="0">
                  <c:v>4.844861336226134E-2</c:v>
                </c:pt>
                <c:pt idx="1">
                  <c:v>0</c:v>
                </c:pt>
                <c:pt idx="2">
                  <c:v>0</c:v>
                </c:pt>
              </c:numCache>
            </c:numRef>
          </c:val>
          <c:extLst>
            <c:ext xmlns:c16="http://schemas.microsoft.com/office/drawing/2014/chart" uri="{C3380CC4-5D6E-409C-BE32-E72D297353CC}">
              <c16:uniqueId val="{00000006-D277-431C-88B2-213BE53602F2}"/>
            </c:ext>
          </c:extLst>
        </c:ser>
        <c:ser>
          <c:idx val="7"/>
          <c:order val="7"/>
          <c:tx>
            <c:strRef>
              <c:f>'UK scallop dredge under 15m'!$H$169</c:f>
              <c:strCache>
                <c:ptCount val="1"/>
                <c:pt idx="0">
                  <c:v>Razor Clam</c:v>
                </c:pt>
              </c:strCache>
            </c:strRef>
          </c:tx>
          <c:spPr>
            <a:solidFill>
              <a:srgbClr val="707271"/>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15m'!$I$169:$K$169</c:f>
              <c:numCache>
                <c:formatCode>0%</c:formatCode>
                <c:ptCount val="3"/>
                <c:pt idx="0">
                  <c:v>2.9116050537677133E-2</c:v>
                </c:pt>
                <c:pt idx="1">
                  <c:v>0</c:v>
                </c:pt>
                <c:pt idx="2">
                  <c:v>0</c:v>
                </c:pt>
              </c:numCache>
            </c:numRef>
          </c:val>
          <c:extLst>
            <c:ext xmlns:c16="http://schemas.microsoft.com/office/drawing/2014/chart" uri="{C3380CC4-5D6E-409C-BE32-E72D297353CC}">
              <c16:uniqueId val="{00000007-D277-431C-88B2-213BE53602F2}"/>
            </c:ext>
          </c:extLst>
        </c:ser>
        <c:ser>
          <c:idx val="8"/>
          <c:order val="8"/>
          <c:tx>
            <c:strRef>
              <c:f>'UK scallop dredge under 15m'!$H$170</c:f>
              <c:strCache>
                <c:ptCount val="1"/>
                <c:pt idx="0">
                  <c:v>Mixed Clams</c:v>
                </c:pt>
              </c:strCache>
            </c:strRef>
          </c:tx>
          <c:spPr>
            <a:solidFill>
              <a:srgbClr val="51AA81"/>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15m'!$I$170:$K$170</c:f>
              <c:numCache>
                <c:formatCode>0%</c:formatCode>
                <c:ptCount val="3"/>
                <c:pt idx="0">
                  <c:v>1.3047528322947638E-2</c:v>
                </c:pt>
                <c:pt idx="1">
                  <c:v>0</c:v>
                </c:pt>
                <c:pt idx="2">
                  <c:v>0</c:v>
                </c:pt>
              </c:numCache>
            </c:numRef>
          </c:val>
          <c:extLst>
            <c:ext xmlns:c16="http://schemas.microsoft.com/office/drawing/2014/chart" uri="{C3380CC4-5D6E-409C-BE32-E72D297353CC}">
              <c16:uniqueId val="{00000008-D277-431C-88B2-213BE53602F2}"/>
            </c:ext>
          </c:extLst>
        </c:ser>
        <c:ser>
          <c:idx val="9"/>
          <c:order val="9"/>
          <c:tx>
            <c:strRef>
              <c:f>'UK scallop dredge under 15m'!$H$171</c:f>
              <c:strCache>
                <c:ptCount val="1"/>
                <c:pt idx="0">
                  <c:v>Others</c:v>
                </c:pt>
              </c:strCache>
            </c:strRef>
          </c:tx>
          <c:spPr>
            <a:solidFill>
              <a:srgbClr val="55585A"/>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15m'!$I$171:$K$171</c:f>
              <c:numCache>
                <c:formatCode>0%</c:formatCode>
                <c:ptCount val="3"/>
                <c:pt idx="0">
                  <c:v>4.2564855890670716E-2</c:v>
                </c:pt>
                <c:pt idx="1">
                  <c:v>5.2912879067177676E-2</c:v>
                </c:pt>
                <c:pt idx="2">
                  <c:v>0.12973352512050118</c:v>
                </c:pt>
              </c:numCache>
            </c:numRef>
          </c:val>
          <c:extLst>
            <c:ext xmlns:c16="http://schemas.microsoft.com/office/drawing/2014/chart" uri="{C3380CC4-5D6E-409C-BE32-E72D297353CC}">
              <c16:uniqueId val="{00000009-D277-431C-88B2-213BE53602F2}"/>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trawl'!$B$62</c:f>
          <c:strCache>
            <c:ptCount val="1"/>
            <c:pt idx="0">
              <c:v>Total cost per kW day at sea (£)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8843-48A1-8700-33D774EDBD44}"/>
              </c:ext>
            </c:extLst>
          </c:dPt>
          <c:dPt>
            <c:idx val="10"/>
            <c:bubble3D val="0"/>
            <c:spPr>
              <a:ln w="57150">
                <a:solidFill>
                  <a:srgbClr val="087CBB"/>
                </a:solidFill>
                <a:prstDash val="sysDot"/>
              </a:ln>
            </c:spPr>
            <c:extLst>
              <c:ext xmlns:c16="http://schemas.microsoft.com/office/drawing/2014/chart" uri="{C3380CC4-5D6E-409C-BE32-E72D297353CC}">
                <c16:uniqueId val="{00000003-8843-48A1-8700-33D774EDBD44}"/>
              </c:ext>
            </c:extLst>
          </c:dPt>
          <c:cat>
            <c:numRef>
              <c:f>'Area VIIa demersal trawl'!$D$2:$N$2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'Area VIIa demersal trawl'!$D$23:$N$23</c:f>
              <c:numCache>
                <c:formatCode>#,##0.00</c:formatCode>
                <c:ptCount val="11"/>
                <c:pt idx="0">
                  <c:v>4.78203869734</c:v>
                </c:pt>
                <c:pt idx="1">
                  <c:v>5.3806487837549799</c:v>
                </c:pt>
                <c:pt idx="2">
                  <c:v>7.6502423692307904</c:v>
                </c:pt>
                <c:pt idx="3">
                  <c:v>6.1043062454425101</c:v>
                </c:pt>
                <c:pt idx="4">
                  <c:v>7.0280730445947697</c:v>
                </c:pt>
                <c:pt idx="5">
                  <c:v>5.9775342106107798</c:v>
                </c:pt>
                <c:pt idx="6">
                  <c:v>6.2437265663222599</c:v>
                </c:pt>
                <c:pt idx="7">
                  <c:v>6.8195715768698504</c:v>
                </c:pt>
                <c:pt idx="8">
                  <c:v>7.2675095561735601</c:v>
                </c:pt>
                <c:pt idx="9">
                  <c:v>6.9121145479206998</c:v>
                </c:pt>
                <c:pt idx="10">
                  <c:v>5.5607407925247907</c:v>
                </c:pt>
              </c:numCache>
            </c:numRef>
          </c:val>
          <c:smooth val="0"/>
          <c:extLst>
            <c:ext xmlns:c16="http://schemas.microsoft.com/office/drawing/2014/chart" uri="{C3380CC4-5D6E-409C-BE32-E72D297353CC}">
              <c16:uniqueId val="{00000004-8843-48A1-8700-33D774EDBD44}"/>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u250kW'!$K$62</c:f>
          <c:strCache>
            <c:ptCount val="1"/>
            <c:pt idx="0">
              <c:v>Average annual operating profit per vessel (£'000)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BA0B-4D02-9193-93060E814900}"/>
              </c:ext>
            </c:extLst>
          </c:dPt>
          <c:dPt>
            <c:idx val="10"/>
            <c:bubble3D val="0"/>
            <c:spPr>
              <a:ln w="57150">
                <a:solidFill>
                  <a:schemeClr val="accent5"/>
                </a:solidFill>
                <a:prstDash val="sysDot"/>
              </a:ln>
            </c:spPr>
            <c:extLst>
              <c:ext xmlns:c16="http://schemas.microsoft.com/office/drawing/2014/chart" uri="{C3380CC4-5D6E-409C-BE32-E72D297353CC}">
                <c16:uniqueId val="{00000003-BA0B-4D02-9193-93060E814900}"/>
              </c:ext>
            </c:extLst>
          </c:dPt>
          <c:cat>
            <c:numRef>
              <c:f>'Area VIIa nephrops u250kW'!$D$2:$M$2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'Area VIIa nephrops u250kW'!$D$37:$N$37</c:f>
              <c:numCache>
                <c:formatCode>#,##0.0</c:formatCode>
                <c:ptCount val="11"/>
                <c:pt idx="0">
                  <c:v>24.5</c:v>
                </c:pt>
                <c:pt idx="1">
                  <c:v>43.4</c:v>
                </c:pt>
                <c:pt idx="2">
                  <c:v>42.7</c:v>
                </c:pt>
                <c:pt idx="3">
                  <c:v>30.3</c:v>
                </c:pt>
                <c:pt idx="4">
                  <c:v>23.8</c:v>
                </c:pt>
                <c:pt idx="5">
                  <c:v>33.200000000000003</c:v>
                </c:pt>
                <c:pt idx="6">
                  <c:v>39.5</c:v>
                </c:pt>
                <c:pt idx="7">
                  <c:v>47.5</c:v>
                </c:pt>
                <c:pt idx="8">
                  <c:v>39.6</c:v>
                </c:pt>
                <c:pt idx="9">
                  <c:v>32.299999999999997</c:v>
                </c:pt>
                <c:pt idx="10">
                  <c:v>24.8</c:v>
                </c:pt>
              </c:numCache>
            </c:numRef>
          </c:val>
          <c:smooth val="0"/>
          <c:extLst>
            <c:ext xmlns:c16="http://schemas.microsoft.com/office/drawing/2014/chart" uri="{C3380CC4-5D6E-409C-BE32-E72D297353CC}">
              <c16:uniqueId val="{00000004-BA0B-4D02-9193-93060E814900}"/>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'UK scallop dredge under 15m'!$K$139</c:f>
              <c:strCache>
                <c:ptCount val="1"/>
                <c:pt idx="0">
                  <c:v>Total income</c:v>
                </c:pt>
              </c:strCache>
            </c:strRef>
          </c:tx>
          <c:spPr>
            <a:solidFill>
              <a:srgbClr val="087CBB"/>
            </a:solidFill>
            <a:ln>
              <a:solidFill>
                <a:schemeClr val="accent1"/>
              </a:solidFill>
            </a:ln>
          </c:spPr>
          <c:invertIfNegative val="0"/>
          <c:cat>
            <c:strRef>
              <c:f>'UK scallop dredge under 15m'!$L$138:$N$138</c:f>
              <c:strCache>
                <c:ptCount val="3"/>
                <c:pt idx="0">
                  <c:v>Most
profitable
quartile</c:v>
                </c:pt>
                <c:pt idx="1">
                  <c:v>Middle
two quartiles</c:v>
                </c:pt>
                <c:pt idx="2">
                  <c:v>Least
profitable
quartile</c:v>
                </c:pt>
              </c:strCache>
            </c:strRef>
          </c:cat>
          <c:val>
            <c:numRef>
              <c:f>'UK scallop dredge under 15m'!$L$139:$N$139</c:f>
              <c:numCache>
                <c:formatCode>#,##0</c:formatCode>
                <c:ptCount val="3"/>
                <c:pt idx="0">
                  <c:v>375.73165625000001</c:v>
                </c:pt>
                <c:pt idx="1">
                  <c:v>157.75941406250001</c:v>
                </c:pt>
                <c:pt idx="2">
                  <c:v>61.775558593749999</c:v>
                </c:pt>
              </c:numCache>
            </c:numRef>
          </c:val>
          <c:extLst>
            <c:ext xmlns:c16="http://schemas.microsoft.com/office/drawing/2014/chart" uri="{C3380CC4-5D6E-409C-BE32-E72D297353CC}">
              <c16:uniqueId val="{00000000-8AD1-49B8-AF47-68D39D0A8E5D}"/>
            </c:ext>
          </c:extLst>
        </c:ser>
        <c:ser>
          <c:idx val="1"/>
          <c:order val="1"/>
          <c:tx>
            <c:strRef>
              <c:f>'UK scallop dredge under 15m'!$K$140</c:f>
              <c:strCache>
                <c:ptCount val="1"/>
                <c:pt idx="0">
                  <c:v>Operating costs</c:v>
                </c:pt>
              </c:strCache>
            </c:strRef>
          </c:tx>
          <c:spPr>
            <a:solidFill>
              <a:srgbClr val="E87308"/>
            </a:solidFill>
          </c:spPr>
          <c:invertIfNegative val="0"/>
          <c:cat>
            <c:strRef>
              <c:f>'UK scallop dredge under 15m'!$L$138:$N$138</c:f>
              <c:strCache>
                <c:ptCount val="3"/>
                <c:pt idx="0">
                  <c:v>Most
profitable
quartile</c:v>
                </c:pt>
                <c:pt idx="1">
                  <c:v>Middle
two quartiles</c:v>
                </c:pt>
                <c:pt idx="2">
                  <c:v>Least
profitable
quartile</c:v>
                </c:pt>
              </c:strCache>
            </c:strRef>
          </c:cat>
          <c:val>
            <c:numRef>
              <c:f>'UK scallop dredge under 15m'!$L$140:$N$140</c:f>
              <c:numCache>
                <c:formatCode>#,##0</c:formatCode>
                <c:ptCount val="3"/>
                <c:pt idx="0">
                  <c:v>284.57724999999999</c:v>
                </c:pt>
                <c:pt idx="1">
                  <c:v>143.86346875000001</c:v>
                </c:pt>
                <c:pt idx="2">
                  <c:v>67.972601562500003</c:v>
                </c:pt>
              </c:numCache>
            </c:numRef>
          </c:val>
          <c:extLst>
            <c:ext xmlns:c16="http://schemas.microsoft.com/office/drawing/2014/chart" uri="{C3380CC4-5D6E-409C-BE32-E72D297353CC}">
              <c16:uniqueId val="{00000001-8AD1-49B8-AF47-68D39D0A8E5D}"/>
            </c:ext>
          </c:extLst>
        </c:ser>
        <c:ser>
          <c:idx val="2"/>
          <c:order val="2"/>
          <c:tx>
            <c:strRef>
              <c:f>'UK scallop dredge under 15m'!$K$141</c:f>
              <c:strCache>
                <c:ptCount val="1"/>
                <c:pt idx="0">
                  <c:v>Operating profit</c:v>
                </c:pt>
              </c:strCache>
            </c:strRef>
          </c:tx>
          <c:spPr>
            <a:solidFill>
              <a:srgbClr val="51AA81"/>
            </a:solidFill>
          </c:spPr>
          <c:invertIfNegative val="0"/>
          <c:cat>
            <c:strRef>
              <c:f>'UK scallop dredge under 15m'!$L$138:$N$138</c:f>
              <c:strCache>
                <c:ptCount val="3"/>
                <c:pt idx="0">
                  <c:v>Most
profitable
quartile</c:v>
                </c:pt>
                <c:pt idx="1">
                  <c:v>Middle
two quartiles</c:v>
                </c:pt>
                <c:pt idx="2">
                  <c:v>Least
profitable
quartile</c:v>
                </c:pt>
              </c:strCache>
            </c:strRef>
          </c:cat>
          <c:val>
            <c:numRef>
              <c:f>'UK scallop dredge under 15m'!$L$141:$N$141</c:f>
              <c:numCache>
                <c:formatCode>#,##0</c:formatCode>
                <c:ptCount val="3"/>
                <c:pt idx="0">
                  <c:v>91.154406249999994</c:v>
                </c:pt>
                <c:pt idx="1">
                  <c:v>13.8959453125</c:v>
                </c:pt>
                <c:pt idx="2">
                  <c:v>-6.1970429687499999</c:v>
                </c:pt>
              </c:numCache>
            </c:numRef>
          </c:val>
          <c:extLst>
            <c:ext xmlns:c16="http://schemas.microsoft.com/office/drawing/2014/chart" uri="{C3380CC4-5D6E-409C-BE32-E72D297353CC}">
              <c16:uniqueId val="{00000002-8AD1-49B8-AF47-68D39D0A8E5D}"/>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'UK scallop dredge under 15m'!$K$142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trawl-seine'!$A$48</c:f>
          <c:strCache>
            <c:ptCount val="1"/>
            <c:pt idx="0">
              <c:v>Landings per kW day at sea (kg)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DB5E-40E1-AD99-F3F3D40F7F98}"/>
              </c:ext>
            </c:extLst>
          </c:dPt>
          <c:dPt>
            <c:idx val="10"/>
            <c:bubble3D val="0"/>
            <c:spPr>
              <a:ln w="57150">
                <a:solidFill>
                  <a:srgbClr val="2273B9"/>
                </a:solidFill>
                <a:prstDash val="sysDot"/>
              </a:ln>
            </c:spPr>
            <c:extLst>
              <c:ext xmlns:c16="http://schemas.microsoft.com/office/drawing/2014/chart" uri="{C3380CC4-5D6E-409C-BE32-E72D297353CC}">
                <c16:uniqueId val="{00000003-DB5E-40E1-AD99-F3F3D40F7F98}"/>
              </c:ext>
            </c:extLst>
          </c:dPt>
          <c:cat>
            <c:numRef>
              <c:f>'U10m demersal trawl-seine'!$D$2:$N$2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'U10m demersal trawl-seine'!$D$21:$N$21</c:f>
              <c:numCache>
                <c:formatCode>#,##0.00</c:formatCode>
                <c:ptCount val="11"/>
                <c:pt idx="0">
                  <c:v>2.2455963537307215</c:v>
                </c:pt>
                <c:pt idx="1">
                  <c:v>2.2624377269129621</c:v>
                </c:pt>
                <c:pt idx="2">
                  <c:v>2.5515763696730422</c:v>
                </c:pt>
                <c:pt idx="3">
                  <c:v>2.6401861793854016</c:v>
                </c:pt>
                <c:pt idx="4">
                  <c:v>2.3070814747113699</c:v>
                </c:pt>
                <c:pt idx="5">
                  <c:v>2.179466537029489</c:v>
                </c:pt>
                <c:pt idx="6">
                  <c:v>2.3540929823775802</c:v>
                </c:pt>
                <c:pt idx="7">
                  <c:v>2.9226850497898358</c:v>
                </c:pt>
                <c:pt idx="8">
                  <c:v>2.5550928151024732</c:v>
                </c:pt>
                <c:pt idx="9">
                  <c:v>2.8374197024033405</c:v>
                </c:pt>
                <c:pt idx="10">
                  <c:v>2.6274532690798775</c:v>
                </c:pt>
              </c:numCache>
            </c:numRef>
          </c:val>
          <c:smooth val="0"/>
          <c:extLst>
            <c:ext xmlns:c16="http://schemas.microsoft.com/office/drawing/2014/chart" uri="{C3380CC4-5D6E-409C-BE32-E72D297353CC}">
              <c16:uniqueId val="{00000004-DB5E-40E1-AD99-F3F3D40F7F98}"/>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trawl-seine'!$A$49</c:f>
          <c:strCache>
            <c:ptCount val="1"/>
            <c:pt idx="0">
              <c:v>Fishing income per kW day at sea (£)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1BDD-4178-AA27-BC32B6245120}"/>
              </c:ext>
            </c:extLst>
          </c:dPt>
          <c:dPt>
            <c:idx val="10"/>
            <c:bubble3D val="0"/>
            <c:spPr>
              <a:ln w="57150">
                <a:solidFill>
                  <a:srgbClr val="648C2E"/>
                </a:solidFill>
                <a:prstDash val="sysDot"/>
              </a:ln>
            </c:spPr>
            <c:extLst>
              <c:ext xmlns:c16="http://schemas.microsoft.com/office/drawing/2014/chart" uri="{C3380CC4-5D6E-409C-BE32-E72D297353CC}">
                <c16:uniqueId val="{00000003-1BDD-4178-AA27-BC32B6245120}"/>
              </c:ext>
            </c:extLst>
          </c:dPt>
          <c:cat>
            <c:numRef>
              <c:f>'U10m demersal trawl-seine'!$D$2:$N$2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'U10m demersal trawl-seine'!$D$22:$N$22</c:f>
              <c:numCache>
                <c:formatCode>#,##0.00</c:formatCode>
                <c:ptCount val="11"/>
                <c:pt idx="0">
                  <c:v>6.2250968575487899</c:v>
                </c:pt>
                <c:pt idx="1">
                  <c:v>6.6885931457181602</c:v>
                </c:pt>
                <c:pt idx="2">
                  <c:v>7.08159686365995</c:v>
                </c:pt>
                <c:pt idx="3">
                  <c:v>6.5618821694480198</c:v>
                </c:pt>
                <c:pt idx="4">
                  <c:v>6.34993159696507</c:v>
                </c:pt>
                <c:pt idx="5">
                  <c:v>5.6753612246056999</c:v>
                </c:pt>
                <c:pt idx="6">
                  <c:v>6.5953661256037996</c:v>
                </c:pt>
                <c:pt idx="7">
                  <c:v>8.2200088344373992</c:v>
                </c:pt>
                <c:pt idx="8">
                  <c:v>7.44408394683221</c:v>
                </c:pt>
                <c:pt idx="9">
                  <c:v>7.8400308123278499</c:v>
                </c:pt>
                <c:pt idx="10">
                  <c:v>6.0194571419822696</c:v>
                </c:pt>
              </c:numCache>
            </c:numRef>
          </c:val>
          <c:smooth val="0"/>
          <c:extLst>
            <c:ext xmlns:c16="http://schemas.microsoft.com/office/drawing/2014/chart" uri="{C3380CC4-5D6E-409C-BE32-E72D297353CC}">
              <c16:uniqueId val="{00000004-1BDD-4178-AA27-BC32B6245120}"/>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trawl-seine'!$B$62</c:f>
          <c:strCache>
            <c:ptCount val="1"/>
            <c:pt idx="0">
              <c:v>Total cost per kW day at sea (£)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92B7-4EDB-AE0B-6D1962B2B3AD}"/>
              </c:ext>
            </c:extLst>
          </c:dPt>
          <c:dPt>
            <c:idx val="10"/>
            <c:bubble3D val="0"/>
            <c:spPr>
              <a:ln w="57150">
                <a:solidFill>
                  <a:srgbClr val="087CBB"/>
                </a:solidFill>
                <a:prstDash val="sysDot"/>
              </a:ln>
            </c:spPr>
            <c:extLst>
              <c:ext xmlns:c16="http://schemas.microsoft.com/office/drawing/2014/chart" uri="{C3380CC4-5D6E-409C-BE32-E72D297353CC}">
                <c16:uniqueId val="{00000003-92B7-4EDB-AE0B-6D1962B2B3AD}"/>
              </c:ext>
            </c:extLst>
          </c:dPt>
          <c:cat>
            <c:numRef>
              <c:f>'U10m demersal trawl-seine'!$D$2:$N$2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'U10m demersal trawl-seine'!$D$23:$N$23</c:f>
              <c:numCache>
                <c:formatCode>#,##0.00</c:formatCode>
                <c:ptCount val="11"/>
                <c:pt idx="0">
                  <c:v>5.0847208558146697</c:v>
                </c:pt>
                <c:pt idx="1">
                  <c:v>5.5140666168204904</c:v>
                </c:pt>
                <c:pt idx="2">
                  <c:v>5.9869481574199099</c:v>
                </c:pt>
                <c:pt idx="3">
                  <c:v>5.4508742539058996</c:v>
                </c:pt>
                <c:pt idx="4">
                  <c:v>5.4185019495454503</c:v>
                </c:pt>
                <c:pt idx="5">
                  <c:v>4.6341459773359803</c:v>
                </c:pt>
                <c:pt idx="6">
                  <c:v>4.78869605988994</c:v>
                </c:pt>
                <c:pt idx="7">
                  <c:v>5.8175922385968697</c:v>
                </c:pt>
                <c:pt idx="8">
                  <c:v>6.1089318355206403</c:v>
                </c:pt>
                <c:pt idx="9">
                  <c:v>6.7207454364101604</c:v>
                </c:pt>
                <c:pt idx="10">
                  <c:v>6.1853628859996785</c:v>
                </c:pt>
              </c:numCache>
            </c:numRef>
          </c:val>
          <c:smooth val="0"/>
          <c:extLst>
            <c:ext xmlns:c16="http://schemas.microsoft.com/office/drawing/2014/chart" uri="{C3380CC4-5D6E-409C-BE32-E72D297353CC}">
              <c16:uniqueId val="{00000004-92B7-4EDB-AE0B-6D1962B2B3AD}"/>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trawl-seine'!$K$48</c:f>
          <c:strCache>
            <c:ptCount val="1"/>
            <c:pt idx="0">
              <c:v>Operating profit per kW day at sea (£)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C3AD-4B6A-ADCA-C81A8B5858B6}"/>
              </c:ext>
            </c:extLst>
          </c:dPt>
          <c:dPt>
            <c:idx val="10"/>
            <c:bubble3D val="0"/>
            <c:spPr>
              <a:ln w="57150">
                <a:solidFill>
                  <a:schemeClr val="accent3"/>
                </a:solidFill>
                <a:prstDash val="sysDot"/>
              </a:ln>
            </c:spPr>
            <c:extLst>
              <c:ext xmlns:c16="http://schemas.microsoft.com/office/drawing/2014/chart" uri="{C3380CC4-5D6E-409C-BE32-E72D297353CC}">
                <c16:uniqueId val="{00000003-C3AD-4B6A-ADCA-C81A8B5858B6}"/>
              </c:ext>
            </c:extLst>
          </c:dPt>
          <c:cat>
            <c:numRef>
              <c:f>'U10m demersal trawl-seine'!$D$2:$N$2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'U10m demersal trawl-seine'!$D$24:$N$24</c:f>
              <c:numCache>
                <c:formatCode>#,##0.00</c:formatCode>
                <c:ptCount val="11"/>
                <c:pt idx="0">
                  <c:v>1.24557168059544</c:v>
                </c:pt>
                <c:pt idx="1">
                  <c:v>1.35062495590479</c:v>
                </c:pt>
                <c:pt idx="2">
                  <c:v>1.4321248380291201</c:v>
                </c:pt>
                <c:pt idx="3">
                  <c:v>1.60564501787765</c:v>
                </c:pt>
                <c:pt idx="4">
                  <c:v>1.4505011763467901</c:v>
                </c:pt>
                <c:pt idx="5">
                  <c:v>1.11991713131705</c:v>
                </c:pt>
                <c:pt idx="6">
                  <c:v>1.9854508823127299</c:v>
                </c:pt>
                <c:pt idx="7">
                  <c:v>2.6089052149421499</c:v>
                </c:pt>
                <c:pt idx="8">
                  <c:v>1.4872771769137201</c:v>
                </c:pt>
                <c:pt idx="9">
                  <c:v>1.4302346661609999</c:v>
                </c:pt>
                <c:pt idx="10">
                  <c:v>0.76823980423790739</c:v>
                </c:pt>
              </c:numCache>
            </c:numRef>
          </c:val>
          <c:smooth val="0"/>
          <c:extLst>
            <c:ext xmlns:c16="http://schemas.microsoft.com/office/drawing/2014/chart" uri="{C3380CC4-5D6E-409C-BE32-E72D297353CC}">
              <c16:uniqueId val="{00000004-C3AD-4B6A-ADCA-C81A8B5858B6}"/>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trawl-seine'!$A$50</c:f>
          <c:strCache>
            <c:ptCount val="1"/>
            <c:pt idx="0">
              <c:v>Average price per tonne landed (£)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7045-4C82-B3EB-07C9F131EF33}"/>
              </c:ext>
            </c:extLst>
          </c:dPt>
          <c:dPt>
            <c:idx val="10"/>
            <c:bubble3D val="0"/>
            <c:spPr>
              <a:ln w="57150">
                <a:solidFill>
                  <a:schemeClr val="accent4"/>
                </a:solidFill>
                <a:prstDash val="sysDot"/>
              </a:ln>
            </c:spPr>
            <c:extLst>
              <c:ext xmlns:c16="http://schemas.microsoft.com/office/drawing/2014/chart" uri="{C3380CC4-5D6E-409C-BE32-E72D297353CC}">
                <c16:uniqueId val="{00000003-7045-4C82-B3EB-07C9F131EF33}"/>
              </c:ext>
            </c:extLst>
          </c:dPt>
          <c:cat>
            <c:numRef>
              <c:f>'U10m demersal trawl-seine'!$D$2:$M$2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'U10m demersal trawl-seine'!$D$20:$N$20</c:f>
              <c:numCache>
                <c:formatCode>#,##0</c:formatCode>
                <c:ptCount val="11"/>
                <c:pt idx="0">
                  <c:v>2772</c:v>
                </c:pt>
                <c:pt idx="1">
                  <c:v>2956</c:v>
                </c:pt>
                <c:pt idx="2">
                  <c:v>2775</c:v>
                </c:pt>
                <c:pt idx="3">
                  <c:v>2485</c:v>
                </c:pt>
                <c:pt idx="4">
                  <c:v>2752</c:v>
                </c:pt>
                <c:pt idx="5">
                  <c:v>2604</c:v>
                </c:pt>
                <c:pt idx="6">
                  <c:v>2802</c:v>
                </c:pt>
                <c:pt idx="7">
                  <c:v>2812</c:v>
                </c:pt>
                <c:pt idx="8">
                  <c:v>2913</c:v>
                </c:pt>
                <c:pt idx="9">
                  <c:v>2763</c:v>
                </c:pt>
                <c:pt idx="10">
                  <c:v>2291</c:v>
                </c:pt>
              </c:numCache>
            </c:numRef>
          </c:val>
          <c:smooth val="0"/>
          <c:extLst>
            <c:ext xmlns:c16="http://schemas.microsoft.com/office/drawing/2014/chart" uri="{C3380CC4-5D6E-409C-BE32-E72D297353CC}">
              <c16:uniqueId val="{00000004-7045-4C82-B3EB-07C9F131EF33}"/>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trawl-seine'!$K$62</c:f>
          <c:strCache>
            <c:ptCount val="1"/>
            <c:pt idx="0">
              <c:v>Average annual operating profit per vessel (£'000)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53ED-48C1-AA38-40158FA36F79}"/>
              </c:ext>
            </c:extLst>
          </c:dPt>
          <c:dPt>
            <c:idx val="10"/>
            <c:bubble3D val="0"/>
            <c:spPr>
              <a:ln w="57150">
                <a:solidFill>
                  <a:schemeClr val="accent5"/>
                </a:solidFill>
                <a:prstDash val="sysDot"/>
              </a:ln>
            </c:spPr>
            <c:extLst>
              <c:ext xmlns:c16="http://schemas.microsoft.com/office/drawing/2014/chart" uri="{C3380CC4-5D6E-409C-BE32-E72D297353CC}">
                <c16:uniqueId val="{00000003-53ED-48C1-AA38-40158FA36F79}"/>
              </c:ext>
            </c:extLst>
          </c:dPt>
          <c:cat>
            <c:numRef>
              <c:f>'U10m demersal trawl-seine'!$D$2:$M$2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'U10m demersal trawl-seine'!$D$37:$N$37</c:f>
              <c:numCache>
                <c:formatCode>#,##0.0</c:formatCode>
                <c:ptCount val="11"/>
                <c:pt idx="0">
                  <c:v>14.2</c:v>
                </c:pt>
                <c:pt idx="1">
                  <c:v>16.3</c:v>
                </c:pt>
                <c:pt idx="2">
                  <c:v>16.3</c:v>
                </c:pt>
                <c:pt idx="3">
                  <c:v>17.8</c:v>
                </c:pt>
                <c:pt idx="4">
                  <c:v>17.399999999999999</c:v>
                </c:pt>
                <c:pt idx="5">
                  <c:v>13.1</c:v>
                </c:pt>
                <c:pt idx="6">
                  <c:v>24.6</c:v>
                </c:pt>
                <c:pt idx="7">
                  <c:v>28</c:v>
                </c:pt>
                <c:pt idx="8">
                  <c:v>16.3</c:v>
                </c:pt>
                <c:pt idx="9">
                  <c:v>16.100000000000001</c:v>
                </c:pt>
                <c:pt idx="10">
                  <c:v>6.6000000000000005</c:v>
                </c:pt>
              </c:numCache>
            </c:numRef>
          </c:val>
          <c:smooth val="0"/>
          <c:extLst>
            <c:ext xmlns:c16="http://schemas.microsoft.com/office/drawing/2014/chart" uri="{C3380CC4-5D6E-409C-BE32-E72D297353CC}">
              <c16:uniqueId val="{00000004-53ED-48C1-AA38-40158FA36F79}"/>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demersal trawl-seine'!$A$76</c:f>
          <c:strCache>
            <c:ptCount val="1"/>
            <c:pt idx="0">
              <c:v>Top 5 landed species by volume in 2019
Under 10m demersal trawl/seine</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CBFF-4AB4-AAAC-8A63A1E8E097}"/>
              </c:ext>
            </c:extLst>
          </c:dPt>
          <c:dPt>
            <c:idx val="1"/>
            <c:bubble3D val="0"/>
            <c:spPr>
              <a:solidFill>
                <a:srgbClr val="E84A38"/>
              </a:solidFill>
              <a:ln>
                <a:solidFill>
                  <a:srgbClr val="FFFFFF"/>
                </a:solidFill>
              </a:ln>
            </c:spPr>
            <c:extLst>
              <c:ext xmlns:c16="http://schemas.microsoft.com/office/drawing/2014/chart" uri="{C3380CC4-5D6E-409C-BE32-E72D297353CC}">
                <c16:uniqueId val="{00000003-CBFF-4AB4-AAAC-8A63A1E8E097}"/>
              </c:ext>
            </c:extLst>
          </c:dPt>
          <c:dPt>
            <c:idx val="2"/>
            <c:bubble3D val="0"/>
            <c:spPr>
              <a:solidFill>
                <a:srgbClr val="648C2E"/>
              </a:solidFill>
              <a:ln>
                <a:solidFill>
                  <a:srgbClr val="FFFFFF"/>
                </a:solidFill>
              </a:ln>
            </c:spPr>
            <c:extLst>
              <c:ext xmlns:c16="http://schemas.microsoft.com/office/drawing/2014/chart" uri="{C3380CC4-5D6E-409C-BE32-E72D297353CC}">
                <c16:uniqueId val="{00000005-CBFF-4AB4-AAAC-8A63A1E8E097}"/>
              </c:ext>
            </c:extLst>
          </c:dPt>
          <c:dPt>
            <c:idx val="3"/>
            <c:bubble3D val="0"/>
            <c:spPr>
              <a:solidFill>
                <a:srgbClr val="0F9AA9"/>
              </a:solidFill>
              <a:ln>
                <a:solidFill>
                  <a:srgbClr val="FFFFFF"/>
                </a:solidFill>
              </a:ln>
            </c:spPr>
            <c:extLst>
              <c:ext xmlns:c16="http://schemas.microsoft.com/office/drawing/2014/chart" uri="{C3380CC4-5D6E-409C-BE32-E72D297353CC}">
                <c16:uniqueId val="{00000007-CBFF-4AB4-AAAC-8A63A1E8E097}"/>
              </c:ext>
            </c:extLst>
          </c:dPt>
          <c:dPt>
            <c:idx val="4"/>
            <c:bubble3D val="0"/>
            <c:spPr>
              <a:solidFill>
                <a:srgbClr val="C1D119"/>
              </a:solidFill>
              <a:ln>
                <a:solidFill>
                  <a:srgbClr val="FFFFFF"/>
                </a:solidFill>
              </a:ln>
            </c:spPr>
            <c:extLst>
              <c:ext xmlns:c16="http://schemas.microsoft.com/office/drawing/2014/chart" uri="{C3380CC4-5D6E-409C-BE32-E72D297353CC}">
                <c16:uniqueId val="{00000009-CBFF-4AB4-AAAC-8A63A1E8E097}"/>
              </c:ext>
            </c:extLst>
          </c:dPt>
          <c:dPt>
            <c:idx val="5"/>
            <c:bubble3D val="0"/>
            <c:spPr>
              <a:solidFill>
                <a:srgbClr val="55585A"/>
              </a:solidFill>
              <a:ln>
                <a:solidFill>
                  <a:srgbClr val="FFFFFF"/>
                </a:solidFill>
              </a:ln>
            </c:spPr>
            <c:extLst>
              <c:ext xmlns:c16="http://schemas.microsoft.com/office/drawing/2014/chart" uri="{C3380CC4-5D6E-409C-BE32-E72D297353CC}">
                <c16:uniqueId val="{0000000B-CBFF-4AB4-AAAC-8A63A1E8E097}"/>
              </c:ext>
            </c:extLst>
          </c:dPt>
          <c:cat>
            <c:strRef>
              <c:f>'U10m demersal trawl-seine'!$B$77:$B$82</c:f>
              <c:strCache>
                <c:ptCount val="6"/>
                <c:pt idx="0">
                  <c:v>Nephrops - 39.1%</c:v>
                </c:pt>
                <c:pt idx="1">
                  <c:v>Plaice - 7.1%</c:v>
                </c:pt>
                <c:pt idx="2">
                  <c:v>Squid - 6.8%</c:v>
                </c:pt>
                <c:pt idx="3">
                  <c:v>Les. Spot. Dog - 6.1%</c:v>
                </c:pt>
                <c:pt idx="4">
                  <c:v>Cuttlefish - 5.3%</c:v>
                </c:pt>
                <c:pt idx="5">
                  <c:v>Others - 35.6%</c:v>
                </c:pt>
              </c:strCache>
            </c:strRef>
          </c:cat>
          <c:val>
            <c:numRef>
              <c:f>'U10m demersal trawl-seine'!$C$77:$C$82</c:f>
              <c:numCache>
                <c:formatCode>0.0%</c:formatCode>
                <c:ptCount val="6"/>
                <c:pt idx="0">
                  <c:v>0.3913175465546162</c:v>
                </c:pt>
                <c:pt idx="1">
                  <c:v>7.0616360636011649E-2</c:v>
                </c:pt>
                <c:pt idx="2">
                  <c:v>6.8221881592654868E-2</c:v>
                </c:pt>
                <c:pt idx="3">
                  <c:v>6.0583466245744538E-2</c:v>
                </c:pt>
                <c:pt idx="4">
                  <c:v>5.3289270681679657E-2</c:v>
                </c:pt>
                <c:pt idx="5">
                  <c:v>0.3559714742892931</c:v>
                </c:pt>
              </c:numCache>
            </c:numRef>
          </c:val>
          <c:extLst>
            <c:ext xmlns:c16="http://schemas.microsoft.com/office/drawing/2014/chart" uri="{C3380CC4-5D6E-409C-BE32-E72D297353CC}">
              <c16:uniqueId val="{0000000C-CBFF-4AB4-AAAC-8A63A1E8E097}"/>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demersal trawl-seine'!$F$76</c:f>
          <c:strCache>
            <c:ptCount val="1"/>
            <c:pt idx="0">
              <c:v>Top 5 landed species by value in 2019
Under 10m demersal trawl/seine</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54CF-416C-8041-5805DE84A640}"/>
              </c:ext>
            </c:extLst>
          </c:dPt>
          <c:dPt>
            <c:idx val="1"/>
            <c:bubble3D val="0"/>
            <c:spPr>
              <a:solidFill>
                <a:srgbClr val="E87308"/>
              </a:solidFill>
              <a:ln>
                <a:solidFill>
                  <a:srgbClr val="FFFFFF"/>
                </a:solidFill>
              </a:ln>
            </c:spPr>
            <c:extLst>
              <c:ext xmlns:c16="http://schemas.microsoft.com/office/drawing/2014/chart" uri="{C3380CC4-5D6E-409C-BE32-E72D297353CC}">
                <c16:uniqueId val="{00000003-54CF-416C-8041-5805DE84A640}"/>
              </c:ext>
            </c:extLst>
          </c:dPt>
          <c:dPt>
            <c:idx val="2"/>
            <c:bubble3D val="0"/>
            <c:spPr>
              <a:solidFill>
                <a:srgbClr val="648C2E"/>
              </a:solidFill>
              <a:ln>
                <a:solidFill>
                  <a:srgbClr val="FFFFFF"/>
                </a:solidFill>
              </a:ln>
            </c:spPr>
            <c:extLst>
              <c:ext xmlns:c16="http://schemas.microsoft.com/office/drawing/2014/chart" uri="{C3380CC4-5D6E-409C-BE32-E72D297353CC}">
                <c16:uniqueId val="{00000005-54CF-416C-8041-5805DE84A640}"/>
              </c:ext>
            </c:extLst>
          </c:dPt>
          <c:dPt>
            <c:idx val="3"/>
            <c:bubble3D val="0"/>
            <c:spPr>
              <a:solidFill>
                <a:srgbClr val="C1D119"/>
              </a:solidFill>
              <a:ln>
                <a:solidFill>
                  <a:srgbClr val="FFFFFF"/>
                </a:solidFill>
              </a:ln>
            </c:spPr>
            <c:extLst>
              <c:ext xmlns:c16="http://schemas.microsoft.com/office/drawing/2014/chart" uri="{C3380CC4-5D6E-409C-BE32-E72D297353CC}">
                <c16:uniqueId val="{00000007-54CF-416C-8041-5805DE84A640}"/>
              </c:ext>
            </c:extLst>
          </c:dPt>
          <c:dPt>
            <c:idx val="4"/>
            <c:bubble3D val="0"/>
            <c:spPr>
              <a:solidFill>
                <a:srgbClr val="E84A38"/>
              </a:solidFill>
              <a:ln>
                <a:solidFill>
                  <a:srgbClr val="FFFFFF"/>
                </a:solidFill>
              </a:ln>
            </c:spPr>
            <c:extLst>
              <c:ext xmlns:c16="http://schemas.microsoft.com/office/drawing/2014/chart" uri="{C3380CC4-5D6E-409C-BE32-E72D297353CC}">
                <c16:uniqueId val="{00000009-54CF-416C-8041-5805DE84A640}"/>
              </c:ext>
            </c:extLst>
          </c:dPt>
          <c:dPt>
            <c:idx val="5"/>
            <c:bubble3D val="0"/>
            <c:spPr>
              <a:solidFill>
                <a:srgbClr val="55585A"/>
              </a:solidFill>
              <a:ln>
                <a:solidFill>
                  <a:srgbClr val="FFFFFF"/>
                </a:solidFill>
              </a:ln>
            </c:spPr>
            <c:extLst>
              <c:ext xmlns:c16="http://schemas.microsoft.com/office/drawing/2014/chart" uri="{C3380CC4-5D6E-409C-BE32-E72D297353CC}">
                <c16:uniqueId val="{0000000B-54CF-416C-8041-5805DE84A640}"/>
              </c:ext>
            </c:extLst>
          </c:dPt>
          <c:cat>
            <c:strRef>
              <c:f>'U10m demersal trawl-seine'!$G$77:$G$82</c:f>
              <c:strCache>
                <c:ptCount val="6"/>
                <c:pt idx="0">
                  <c:v>Nephrops - 47.7%</c:v>
                </c:pt>
                <c:pt idx="1">
                  <c:v>Sole - 10.1%</c:v>
                </c:pt>
                <c:pt idx="2">
                  <c:v>Squid - 7.3%</c:v>
                </c:pt>
                <c:pt idx="3">
                  <c:v>Cuttlefish - 5.2%</c:v>
                </c:pt>
                <c:pt idx="4">
                  <c:v>Plaice - 4.7%</c:v>
                </c:pt>
                <c:pt idx="5">
                  <c:v>Others - 25.0%</c:v>
                </c:pt>
              </c:strCache>
            </c:strRef>
          </c:cat>
          <c:val>
            <c:numRef>
              <c:f>'U10m demersal trawl-seine'!$H$77:$H$82</c:f>
              <c:numCache>
                <c:formatCode>0.0%</c:formatCode>
                <c:ptCount val="6"/>
                <c:pt idx="0">
                  <c:v>0.47654872351453675</c:v>
                </c:pt>
                <c:pt idx="1">
                  <c:v>0.10133079894396528</c:v>
                </c:pt>
                <c:pt idx="2">
                  <c:v>7.3152327593715025E-2</c:v>
                </c:pt>
                <c:pt idx="3">
                  <c:v>5.1730241619473802E-2</c:v>
                </c:pt>
                <c:pt idx="4">
                  <c:v>4.7230320838619701E-2</c:v>
                </c:pt>
                <c:pt idx="5">
                  <c:v>0.25000758748968943</c:v>
                </c:pt>
              </c:numCache>
            </c:numRef>
          </c:val>
          <c:extLst>
            <c:ext xmlns:c16="http://schemas.microsoft.com/office/drawing/2014/chart" uri="{C3380CC4-5D6E-409C-BE32-E72D297353CC}">
              <c16:uniqueId val="{0000000C-54CF-416C-8041-5805DE84A640}"/>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demersal trawl-seine'!$K$77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'U10m demersal trawl-seine'!$C$92</c:f>
              <c:strCache>
                <c:ptCount val="1"/>
                <c:pt idx="0">
                  <c:v>Nephrops</c:v>
                </c:pt>
              </c:strCache>
            </c:strRef>
          </c:tx>
          <c:spPr>
            <a:solidFill>
              <a:srgbClr val="2273B9"/>
            </a:solidFill>
            <a:ln>
              <a:solidFill>
                <a:srgbClr val="FFFFFF"/>
              </a:solidFill>
            </a:ln>
          </c:spPr>
          <c:invertIfNegative val="0"/>
          <c:cat>
            <c:numRef>
              <c:f>'U10m demersal trawl-seine'!$D$91:$M$91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demersal trawl-seine'!$D$92:$M$92</c:f>
              <c:numCache>
                <c:formatCode>0%</c:formatCode>
                <c:ptCount val="10"/>
                <c:pt idx="0">
                  <c:v>0.45688726703527571</c:v>
                </c:pt>
                <c:pt idx="1">
                  <c:v>0.47651576148383695</c:v>
                </c:pt>
                <c:pt idx="2">
                  <c:v>0.48030103423782949</c:v>
                </c:pt>
                <c:pt idx="3">
                  <c:v>0.5486506128302141</c:v>
                </c:pt>
                <c:pt idx="4">
                  <c:v>0.4757522666569558</c:v>
                </c:pt>
                <c:pt idx="5">
                  <c:v>0.50897410250597219</c:v>
                </c:pt>
                <c:pt idx="6">
                  <c:v>0.48086354719956342</c:v>
                </c:pt>
                <c:pt idx="7">
                  <c:v>0.49966774396386832</c:v>
                </c:pt>
                <c:pt idx="8">
                  <c:v>0.47654872351453675</c:v>
                </c:pt>
                <c:pt idx="9">
                  <c:v>0.39360045641707225</c:v>
                </c:pt>
              </c:numCache>
            </c:numRef>
          </c:val>
          <c:extLst>
            <c:ext xmlns:c16="http://schemas.microsoft.com/office/drawing/2014/chart" uri="{C3380CC4-5D6E-409C-BE32-E72D297353CC}">
              <c16:uniqueId val="{00000000-BCE5-454C-A540-AC801851CE8A}"/>
            </c:ext>
          </c:extLst>
        </c:ser>
        <c:ser>
          <c:idx val="1"/>
          <c:order val="1"/>
          <c:tx>
            <c:strRef>
              <c:f>'U10m demersal trawl-seine'!$C$93</c:f>
              <c:strCache>
                <c:ptCount val="1"/>
                <c:pt idx="0">
                  <c:v>Sole</c:v>
                </c:pt>
              </c:strCache>
            </c:strRef>
          </c:tx>
          <c:spPr>
            <a:solidFill>
              <a:srgbClr val="E87308"/>
            </a:solidFill>
            <a:ln>
              <a:solidFill>
                <a:srgbClr val="FFFFFF"/>
              </a:solidFill>
            </a:ln>
          </c:spPr>
          <c:invertIfNegative val="0"/>
          <c:cat>
            <c:numRef>
              <c:f>'U10m demersal trawl-seine'!$D$91:$M$91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demersal trawl-seine'!$D$93:$M$93</c:f>
              <c:numCache>
                <c:formatCode>0%</c:formatCode>
                <c:ptCount val="10"/>
                <c:pt idx="0">
                  <c:v>0.17155981188790329</c:v>
                </c:pt>
                <c:pt idx="1">
                  <c:v>0.11757045271554849</c:v>
                </c:pt>
                <c:pt idx="2">
                  <c:v>0.12547485386848753</c:v>
                </c:pt>
                <c:pt idx="3">
                  <c:v>7.8621005651854023E-2</c:v>
                </c:pt>
                <c:pt idx="4">
                  <c:v>8.6353515762858699E-2</c:v>
                </c:pt>
                <c:pt idx="5">
                  <c:v>7.4292353263172253E-2</c:v>
                </c:pt>
                <c:pt idx="6">
                  <c:v>6.7167466000344872E-2</c:v>
                </c:pt>
                <c:pt idx="7">
                  <c:v>9.4021609751084437E-2</c:v>
                </c:pt>
                <c:pt idx="8">
                  <c:v>0.10133079894396528</c:v>
                </c:pt>
                <c:pt idx="9">
                  <c:v>0.14448619443573235</c:v>
                </c:pt>
              </c:numCache>
            </c:numRef>
          </c:val>
          <c:extLst>
            <c:ext xmlns:c16="http://schemas.microsoft.com/office/drawing/2014/chart" uri="{C3380CC4-5D6E-409C-BE32-E72D297353CC}">
              <c16:uniqueId val="{00000001-BCE5-454C-A540-AC801851CE8A}"/>
            </c:ext>
          </c:extLst>
        </c:ser>
        <c:ser>
          <c:idx val="2"/>
          <c:order val="2"/>
          <c:tx>
            <c:strRef>
              <c:f>'U10m demersal trawl-seine'!$C$94</c:f>
              <c:strCache>
                <c:ptCount val="1"/>
                <c:pt idx="0">
                  <c:v>Squid</c:v>
                </c:pt>
              </c:strCache>
            </c:strRef>
          </c:tx>
          <c:spPr>
            <a:solidFill>
              <a:srgbClr val="648C2E"/>
            </a:solidFill>
            <a:ln>
              <a:solidFill>
                <a:srgbClr val="FFFFFF"/>
              </a:solidFill>
            </a:ln>
          </c:spPr>
          <c:invertIfNegative val="0"/>
          <c:cat>
            <c:numRef>
              <c:f>'U10m demersal trawl-seine'!$D$91:$M$91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demersal trawl-seine'!$D$94:$M$94</c:f>
              <c:numCache>
                <c:formatCode>0%</c:formatCode>
                <c:ptCount val="10"/>
                <c:pt idx="0">
                  <c:v>4.5730954939591263E-2</c:v>
                </c:pt>
                <c:pt idx="2">
                  <c:v>4.2810390224912724E-2</c:v>
                </c:pt>
                <c:pt idx="3">
                  <c:v>5.148440264264894E-2</c:v>
                </c:pt>
                <c:pt idx="5">
                  <c:v>5.1310628454169657E-2</c:v>
                </c:pt>
                <c:pt idx="6">
                  <c:v>6.9365830866617142E-2</c:v>
                </c:pt>
                <c:pt idx="7">
                  <c:v>7.9636557777047465E-2</c:v>
                </c:pt>
                <c:pt idx="8">
                  <c:v>7.3152327593715025E-2</c:v>
                </c:pt>
                <c:pt idx="9">
                  <c:v>6.6479958605022149E-2</c:v>
                </c:pt>
              </c:numCache>
            </c:numRef>
          </c:val>
          <c:extLst>
            <c:ext xmlns:c16="http://schemas.microsoft.com/office/drawing/2014/chart" uri="{C3380CC4-5D6E-409C-BE32-E72D297353CC}">
              <c16:uniqueId val="{00000002-BCE5-454C-A540-AC801851CE8A}"/>
            </c:ext>
          </c:extLst>
        </c:ser>
        <c:ser>
          <c:idx val="3"/>
          <c:order val="3"/>
          <c:tx>
            <c:strRef>
              <c:f>'U10m demersal trawl-seine'!$C$95</c:f>
              <c:strCache>
                <c:ptCount val="1"/>
                <c:pt idx="0">
                  <c:v>Cuttlefish</c:v>
                </c:pt>
              </c:strCache>
            </c:strRef>
          </c:tx>
          <c:spPr>
            <a:solidFill>
              <a:srgbClr val="C1D119"/>
            </a:solidFill>
            <a:ln>
              <a:solidFill>
                <a:srgbClr val="FFFFFF"/>
              </a:solidFill>
            </a:ln>
          </c:spPr>
          <c:invertIfNegative val="0"/>
          <c:cat>
            <c:numRef>
              <c:f>'U10m demersal trawl-seine'!$D$91:$M$91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demersal trawl-seine'!$D$95:$M$95</c:f>
              <c:numCache>
                <c:formatCode>0%</c:formatCode>
                <c:ptCount val="10"/>
                <c:pt idx="4">
                  <c:v>4.2445331947735726E-2</c:v>
                </c:pt>
                <c:pt idx="5">
                  <c:v>4.5220728471012515E-2</c:v>
                </c:pt>
                <c:pt idx="6">
                  <c:v>9.9179590925353542E-2</c:v>
                </c:pt>
                <c:pt idx="8">
                  <c:v>5.1730241619473802E-2</c:v>
                </c:pt>
              </c:numCache>
            </c:numRef>
          </c:val>
          <c:extLst>
            <c:ext xmlns:c16="http://schemas.microsoft.com/office/drawing/2014/chart" uri="{C3380CC4-5D6E-409C-BE32-E72D297353CC}">
              <c16:uniqueId val="{00000003-BCE5-454C-A540-AC801851CE8A}"/>
            </c:ext>
          </c:extLst>
        </c:ser>
        <c:ser>
          <c:idx val="4"/>
          <c:order val="4"/>
          <c:tx>
            <c:strRef>
              <c:f>'U10m demersal trawl-seine'!$C$96</c:f>
              <c:strCache>
                <c:ptCount val="1"/>
                <c:pt idx="0">
                  <c:v>Plaice</c:v>
                </c:pt>
              </c:strCache>
            </c:strRef>
          </c:tx>
          <c:spPr>
            <a:solidFill>
              <a:srgbClr val="E84A38"/>
            </a:solidFill>
            <a:ln>
              <a:solidFill>
                <a:srgbClr val="FFFFFF"/>
              </a:solidFill>
            </a:ln>
          </c:spPr>
          <c:invertIfNegative val="0"/>
          <c:cat>
            <c:numRef>
              <c:f>'U10m demersal trawl-seine'!$D$91:$M$91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demersal trawl-seine'!$D$96:$M$96</c:f>
              <c:numCache>
                <c:formatCode>0%</c:formatCode>
                <c:ptCount val="10"/>
                <c:pt idx="7">
                  <c:v>7.0211297906862605E-2</c:v>
                </c:pt>
                <c:pt idx="8">
                  <c:v>4.7230320838619701E-2</c:v>
                </c:pt>
                <c:pt idx="9">
                  <c:v>4.010646373702783E-2</c:v>
                </c:pt>
              </c:numCache>
            </c:numRef>
          </c:val>
          <c:extLst>
            <c:ext xmlns:c16="http://schemas.microsoft.com/office/drawing/2014/chart" uri="{C3380CC4-5D6E-409C-BE32-E72D297353CC}">
              <c16:uniqueId val="{00000004-BCE5-454C-A540-AC801851CE8A}"/>
            </c:ext>
          </c:extLst>
        </c:ser>
        <c:ser>
          <c:idx val="5"/>
          <c:order val="5"/>
          <c:tx>
            <c:strRef>
              <c:f>'U10m demersal trawl-seine'!$C$97</c:f>
              <c:strCache>
                <c:ptCount val="1"/>
                <c:pt idx="0">
                  <c:v>Scallops</c:v>
                </c:pt>
              </c:strCache>
            </c:strRef>
          </c:tx>
          <c:spPr>
            <a:solidFill>
              <a:srgbClr val="0F9AA9"/>
            </a:solidFill>
            <a:ln>
              <a:solidFill>
                <a:srgbClr val="FFFFFF"/>
              </a:solidFill>
            </a:ln>
          </c:spPr>
          <c:invertIfNegative val="0"/>
          <c:cat>
            <c:numRef>
              <c:f>'U10m demersal trawl-seine'!$D$91:$M$91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demersal trawl-seine'!$D$97:$M$97</c:f>
              <c:numCache>
                <c:formatCode>0%</c:formatCode>
                <c:ptCount val="10"/>
                <c:pt idx="0">
                  <c:v>5.6721728157643724E-2</c:v>
                </c:pt>
                <c:pt idx="1">
                  <c:v>6.7552289845660821E-2</c:v>
                </c:pt>
                <c:pt idx="2">
                  <c:v>4.8353042078686993E-2</c:v>
                </c:pt>
                <c:pt idx="3">
                  <c:v>4.5163162417323613E-2</c:v>
                </c:pt>
                <c:pt idx="4">
                  <c:v>5.7111106540407346E-2</c:v>
                </c:pt>
                <c:pt idx="6">
                  <c:v>4.810786048270458E-2</c:v>
                </c:pt>
                <c:pt idx="7">
                  <c:v>4.659161418200522E-2</c:v>
                </c:pt>
                <c:pt idx="9">
                  <c:v>6.1281206017416288E-2</c:v>
                </c:pt>
              </c:numCache>
            </c:numRef>
          </c:val>
          <c:extLst>
            <c:ext xmlns:c16="http://schemas.microsoft.com/office/drawing/2014/chart" uri="{C3380CC4-5D6E-409C-BE32-E72D297353CC}">
              <c16:uniqueId val="{00000005-BCE5-454C-A540-AC801851CE8A}"/>
            </c:ext>
          </c:extLst>
        </c:ser>
        <c:ser>
          <c:idx val="6"/>
          <c:order val="6"/>
          <c:tx>
            <c:strRef>
              <c:f>'U10m demersal trawl-seine'!$C$98</c:f>
              <c:strCache>
                <c:ptCount val="1"/>
                <c:pt idx="0">
                  <c:v>Lemon Sole</c:v>
                </c:pt>
              </c:strCache>
            </c:strRef>
          </c:tx>
          <c:spPr>
            <a:solidFill>
              <a:srgbClr val="FED825"/>
            </a:solidFill>
            <a:ln>
              <a:solidFill>
                <a:srgbClr val="FFFFFF"/>
              </a:solidFill>
            </a:ln>
          </c:spPr>
          <c:invertIfNegative val="0"/>
          <c:cat>
            <c:numRef>
              <c:f>'U10m demersal trawl-seine'!$D$91:$M$91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demersal trawl-seine'!$D$98:$M$98</c:f>
              <c:numCache>
                <c:formatCode>0%</c:formatCode>
                <c:ptCount val="10"/>
                <c:pt idx="0">
                  <c:v>3.0547701375498896E-2</c:v>
                </c:pt>
                <c:pt idx="1">
                  <c:v>5.3448964192623585E-2</c:v>
                </c:pt>
                <c:pt idx="2">
                  <c:v>5.3553319840432288E-2</c:v>
                </c:pt>
                <c:pt idx="3">
                  <c:v>4.9089211866834154E-2</c:v>
                </c:pt>
                <c:pt idx="4">
                  <c:v>5.3638306423876875E-2</c:v>
                </c:pt>
                <c:pt idx="5">
                  <c:v>4.9198473645301104E-2</c:v>
                </c:pt>
              </c:numCache>
            </c:numRef>
          </c:val>
          <c:extLst>
            <c:ext xmlns:c16="http://schemas.microsoft.com/office/drawing/2014/chart" uri="{C3380CC4-5D6E-409C-BE32-E72D297353CC}">
              <c16:uniqueId val="{00000006-BCE5-454C-A540-AC801851CE8A}"/>
            </c:ext>
          </c:extLst>
        </c:ser>
        <c:ser>
          <c:idx val="7"/>
          <c:order val="7"/>
          <c:tx>
            <c:strRef>
              <c:f>'U10m demersal trawl-seine'!$C$99</c:f>
              <c:strCache>
                <c:ptCount val="1"/>
                <c:pt idx="0">
                  <c:v>Bass</c:v>
                </c:pt>
              </c:strCache>
            </c:strRef>
          </c:tx>
          <c:spPr>
            <a:solidFill>
              <a:srgbClr val="707271"/>
            </a:solidFill>
            <a:ln>
              <a:solidFill>
                <a:srgbClr val="FFFFFF"/>
              </a:solidFill>
            </a:ln>
          </c:spPr>
          <c:invertIfNegative val="0"/>
          <c:cat>
            <c:numRef>
              <c:f>'U10m demersal trawl-seine'!$D$91:$M$91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demersal trawl-seine'!$D$99:$M$99</c:f>
              <c:numCache>
                <c:formatCode>0%</c:formatCode>
                <c:ptCount val="10"/>
                <c:pt idx="1">
                  <c:v>2.8362029990461474E-2</c:v>
                </c:pt>
              </c:numCache>
            </c:numRef>
          </c:val>
          <c:extLst>
            <c:ext xmlns:c16="http://schemas.microsoft.com/office/drawing/2014/chart" uri="{C3380CC4-5D6E-409C-BE32-E72D297353CC}">
              <c16:uniqueId val="{00000007-BCE5-454C-A540-AC801851CE8A}"/>
            </c:ext>
          </c:extLst>
        </c:ser>
        <c:ser>
          <c:idx val="8"/>
          <c:order val="8"/>
          <c:tx>
            <c:strRef>
              <c:f>'U10m demersal trawl-seine'!$C$100</c:f>
              <c:strCache>
                <c:ptCount val="1"/>
                <c:pt idx="0">
                  <c:v>Others</c:v>
                </c:pt>
              </c:strCache>
            </c:strRef>
          </c:tx>
          <c:spPr>
            <a:solidFill>
              <a:srgbClr val="55585A"/>
            </a:solidFill>
            <a:ln>
              <a:solidFill>
                <a:srgbClr val="FFFFFF"/>
              </a:solidFill>
            </a:ln>
          </c:spPr>
          <c:invertIfNegative val="0"/>
          <c:cat>
            <c:numRef>
              <c:f>'U10m demersal trawl-seine'!$D$91:$M$91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demersal trawl-seine'!$D$100:$M$100</c:f>
              <c:numCache>
                <c:formatCode>0%</c:formatCode>
                <c:ptCount val="10"/>
                <c:pt idx="0">
                  <c:v>0.23855253660408712</c:v>
                </c:pt>
                <c:pt idx="1">
                  <c:v>0.25655050177186867</c:v>
                </c:pt>
                <c:pt idx="2">
                  <c:v>0.24950735974965099</c:v>
                </c:pt>
                <c:pt idx="3">
                  <c:v>0.22699160459112513</c:v>
                </c:pt>
                <c:pt idx="4">
                  <c:v>0.28469947266816553</c:v>
                </c:pt>
                <c:pt idx="5">
                  <c:v>0.27100371366037224</c:v>
                </c:pt>
                <c:pt idx="6">
                  <c:v>0.23531570452541642</c:v>
                </c:pt>
                <c:pt idx="7">
                  <c:v>0.209871176419132</c:v>
                </c:pt>
                <c:pt idx="8">
                  <c:v>0.25000758748968949</c:v>
                </c:pt>
                <c:pt idx="9">
                  <c:v>0.29404572078772911</c:v>
                </c:pt>
              </c:numCache>
            </c:numRef>
          </c:val>
          <c:extLst>
            <c:ext xmlns:c16="http://schemas.microsoft.com/office/drawing/2014/chart" uri="{C3380CC4-5D6E-409C-BE32-E72D297353CC}">
              <c16:uniqueId val="{00000008-BCE5-454C-A540-AC801851CE8A}"/>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u250kW'!$A$76</c:f>
          <c:strCache>
            <c:ptCount val="1"/>
            <c:pt idx="0">
              <c:v>Top 5 landed species by volume in 2019
Area VIIA nephrops under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8580-4B06-AD80-1641012E048B}"/>
              </c:ext>
            </c:extLst>
          </c:dPt>
          <c:dPt>
            <c:idx val="1"/>
            <c:bubble3D val="0"/>
            <c:spPr>
              <a:solidFill>
                <a:srgbClr val="E87308"/>
              </a:solidFill>
              <a:ln>
                <a:solidFill>
                  <a:srgbClr val="FFFFFF"/>
                </a:solidFill>
              </a:ln>
            </c:spPr>
            <c:extLst>
              <c:ext xmlns:c16="http://schemas.microsoft.com/office/drawing/2014/chart" uri="{C3380CC4-5D6E-409C-BE32-E72D297353CC}">
                <c16:uniqueId val="{00000003-8580-4B06-AD80-1641012E048B}"/>
              </c:ext>
            </c:extLst>
          </c:dPt>
          <c:dPt>
            <c:idx val="2"/>
            <c:bubble3D val="0"/>
            <c:spPr>
              <a:solidFill>
                <a:srgbClr val="0F9AA9"/>
              </a:solidFill>
              <a:ln>
                <a:solidFill>
                  <a:srgbClr val="FFFFFF"/>
                </a:solidFill>
              </a:ln>
            </c:spPr>
            <c:extLst>
              <c:ext xmlns:c16="http://schemas.microsoft.com/office/drawing/2014/chart" uri="{C3380CC4-5D6E-409C-BE32-E72D297353CC}">
                <c16:uniqueId val="{00000005-8580-4B06-AD80-1641012E048B}"/>
              </c:ext>
            </c:extLst>
          </c:dPt>
          <c:dPt>
            <c:idx val="3"/>
            <c:bubble3D val="0"/>
            <c:spPr>
              <a:solidFill>
                <a:srgbClr val="C1D119"/>
              </a:solidFill>
              <a:ln>
                <a:solidFill>
                  <a:srgbClr val="FFFFFF"/>
                </a:solidFill>
              </a:ln>
            </c:spPr>
            <c:extLst>
              <c:ext xmlns:c16="http://schemas.microsoft.com/office/drawing/2014/chart" uri="{C3380CC4-5D6E-409C-BE32-E72D297353CC}">
                <c16:uniqueId val="{00000007-8580-4B06-AD80-1641012E048B}"/>
              </c:ext>
            </c:extLst>
          </c:dPt>
          <c:dPt>
            <c:idx val="4"/>
            <c:bubble3D val="0"/>
            <c:spPr>
              <a:solidFill>
                <a:srgbClr val="648C2E"/>
              </a:solidFill>
              <a:ln>
                <a:solidFill>
                  <a:srgbClr val="FFFFFF"/>
                </a:solidFill>
              </a:ln>
            </c:spPr>
            <c:extLst>
              <c:ext xmlns:c16="http://schemas.microsoft.com/office/drawing/2014/chart" uri="{C3380CC4-5D6E-409C-BE32-E72D297353CC}">
                <c16:uniqueId val="{00000009-8580-4B06-AD80-1641012E048B}"/>
              </c:ext>
            </c:extLst>
          </c:dPt>
          <c:dPt>
            <c:idx val="5"/>
            <c:bubble3D val="0"/>
            <c:spPr>
              <a:solidFill>
                <a:srgbClr val="55585A"/>
              </a:solidFill>
              <a:ln>
                <a:solidFill>
                  <a:srgbClr val="FFFFFF"/>
                </a:solidFill>
              </a:ln>
            </c:spPr>
            <c:extLst>
              <c:ext xmlns:c16="http://schemas.microsoft.com/office/drawing/2014/chart" uri="{C3380CC4-5D6E-409C-BE32-E72D297353CC}">
                <c16:uniqueId val="{0000000B-8580-4B06-AD80-1641012E048B}"/>
              </c:ext>
            </c:extLst>
          </c:dPt>
          <c:cat>
            <c:strRef>
              <c:f>'Area VIIa nephrops u250kW'!$B$77:$B$82</c:f>
              <c:strCache>
                <c:ptCount val="6"/>
                <c:pt idx="0">
                  <c:v>Nephrops - 79.3%</c:v>
                </c:pt>
                <c:pt idx="1">
                  <c:v>Scallops - 7.7%</c:v>
                </c:pt>
                <c:pt idx="2">
                  <c:v>Les. Spot. Dog - 3.4%</c:v>
                </c:pt>
                <c:pt idx="3">
                  <c:v>Haddock - 2.2%</c:v>
                </c:pt>
                <c:pt idx="4">
                  <c:v>Anglerfish - 1.4%</c:v>
                </c:pt>
                <c:pt idx="5">
                  <c:v>Others - 6.0%</c:v>
                </c:pt>
              </c:strCache>
            </c:strRef>
          </c:cat>
          <c:val>
            <c:numRef>
              <c:f>'Area VIIa nephrops u250kW'!$C$77:$C$82</c:f>
              <c:numCache>
                <c:formatCode>0.0%</c:formatCode>
                <c:ptCount val="6"/>
                <c:pt idx="0">
                  <c:v>0.79251646360760175</c:v>
                </c:pt>
                <c:pt idx="1">
                  <c:v>7.679677953985542E-2</c:v>
                </c:pt>
                <c:pt idx="2">
                  <c:v>3.4297001584059038E-2</c:v>
                </c:pt>
                <c:pt idx="3">
                  <c:v>2.1711665469496301E-2</c:v>
                </c:pt>
                <c:pt idx="4">
                  <c:v>1.4188515474971953E-2</c:v>
                </c:pt>
                <c:pt idx="5">
                  <c:v>6.0489574324015583E-2</c:v>
                </c:pt>
              </c:numCache>
            </c:numRef>
          </c:val>
          <c:extLst>
            <c:ext xmlns:c16="http://schemas.microsoft.com/office/drawing/2014/chart" uri="{C3380CC4-5D6E-409C-BE32-E72D297353CC}">
              <c16:uniqueId val="{0000000C-8580-4B06-AD80-1641012E048B}"/>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'U10m demersal trawl-seine'!$B$162</c:f>
              <c:strCache>
                <c:ptCount val="1"/>
                <c:pt idx="0">
                  <c:v>Nephrops</c:v>
                </c:pt>
              </c:strCache>
            </c:strRef>
          </c:tx>
          <c:spPr>
            <a:solidFill>
              <a:srgbClr val="2273B9"/>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trawl-seine'!$C$162:$E$162</c:f>
              <c:numCache>
                <c:formatCode>0%</c:formatCode>
                <c:ptCount val="3"/>
                <c:pt idx="0">
                  <c:v>0.41706625014455168</c:v>
                </c:pt>
                <c:pt idx="1">
                  <c:v>0.47703882974273981</c:v>
                </c:pt>
                <c:pt idx="2">
                  <c:v>0.32881563152556531</c:v>
                </c:pt>
              </c:numCache>
            </c:numRef>
          </c:val>
          <c:extLst>
            <c:ext xmlns:c16="http://schemas.microsoft.com/office/drawing/2014/chart" uri="{C3380CC4-5D6E-409C-BE32-E72D297353CC}">
              <c16:uniqueId val="{00000000-06FB-452A-B383-5A1CACC6261F}"/>
            </c:ext>
          </c:extLst>
        </c:ser>
        <c:ser>
          <c:idx val="1"/>
          <c:order val="1"/>
          <c:tx>
            <c:strRef>
              <c:f>'U10m demersal trawl-seine'!$B$163</c:f>
              <c:strCache>
                <c:ptCount val="1"/>
                <c:pt idx="0">
                  <c:v>Plaice</c:v>
                </c:pt>
              </c:strCache>
            </c:strRef>
          </c:tx>
          <c:spPr>
            <a:solidFill>
              <a:srgbClr val="E84A38"/>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trawl-seine'!$C$163:$E$163</c:f>
              <c:numCache>
                <c:formatCode>0%</c:formatCode>
                <c:ptCount val="3"/>
                <c:pt idx="0">
                  <c:v>6.0678513256930827E-2</c:v>
                </c:pt>
                <c:pt idx="1">
                  <c:v>9.7109425738658078E-2</c:v>
                </c:pt>
                <c:pt idx="2">
                  <c:v>7.2497416621919927E-2</c:v>
                </c:pt>
              </c:numCache>
            </c:numRef>
          </c:val>
          <c:extLst>
            <c:ext xmlns:c16="http://schemas.microsoft.com/office/drawing/2014/chart" uri="{C3380CC4-5D6E-409C-BE32-E72D297353CC}">
              <c16:uniqueId val="{00000001-06FB-452A-B383-5A1CACC6261F}"/>
            </c:ext>
          </c:extLst>
        </c:ser>
        <c:ser>
          <c:idx val="2"/>
          <c:order val="2"/>
          <c:tx>
            <c:strRef>
              <c:f>'U10m demersal trawl-seine'!$B$164</c:f>
              <c:strCache>
                <c:ptCount val="1"/>
                <c:pt idx="0">
                  <c:v>Les. Spot. Dog</c:v>
                </c:pt>
              </c:strCache>
            </c:strRef>
          </c:tx>
          <c:spPr>
            <a:solidFill>
              <a:srgbClr val="0F9AA9"/>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trawl-seine'!$C$164:$E$164</c:f>
              <c:numCache>
                <c:formatCode>0%</c:formatCode>
                <c:ptCount val="3"/>
                <c:pt idx="0">
                  <c:v>0</c:v>
                </c:pt>
                <c:pt idx="1">
                  <c:v>9.3005629873078949E-2</c:v>
                </c:pt>
                <c:pt idx="2">
                  <c:v>0.11690267883777818</c:v>
                </c:pt>
              </c:numCache>
            </c:numRef>
          </c:val>
          <c:extLst>
            <c:ext xmlns:c16="http://schemas.microsoft.com/office/drawing/2014/chart" uri="{C3380CC4-5D6E-409C-BE32-E72D297353CC}">
              <c16:uniqueId val="{00000002-06FB-452A-B383-5A1CACC6261F}"/>
            </c:ext>
          </c:extLst>
        </c:ser>
        <c:ser>
          <c:idx val="3"/>
          <c:order val="3"/>
          <c:tx>
            <c:strRef>
              <c:f>'U10m demersal trawl-seine'!$B$165</c:f>
              <c:strCache>
                <c:ptCount val="1"/>
                <c:pt idx="0">
                  <c:v>Squid</c:v>
                </c:pt>
              </c:strCache>
            </c:strRef>
          </c:tx>
          <c:spPr>
            <a:solidFill>
              <a:srgbClr val="648C2E"/>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trawl-seine'!$C$165:$E$165</c:f>
              <c:numCache>
                <c:formatCode>0%</c:formatCode>
                <c:ptCount val="3"/>
                <c:pt idx="0">
                  <c:v>8.8503631389355242E-2</c:v>
                </c:pt>
                <c:pt idx="1">
                  <c:v>5.5693081571545039E-2</c:v>
                </c:pt>
                <c:pt idx="2">
                  <c:v>9.3209778652825009E-2</c:v>
                </c:pt>
              </c:numCache>
            </c:numRef>
          </c:val>
          <c:extLst>
            <c:ext xmlns:c16="http://schemas.microsoft.com/office/drawing/2014/chart" uri="{C3380CC4-5D6E-409C-BE32-E72D297353CC}">
              <c16:uniqueId val="{00000003-06FB-452A-B383-5A1CACC6261F}"/>
            </c:ext>
          </c:extLst>
        </c:ser>
        <c:ser>
          <c:idx val="4"/>
          <c:order val="4"/>
          <c:tx>
            <c:strRef>
              <c:f>'U10m demersal trawl-seine'!$B$166</c:f>
              <c:strCache>
                <c:ptCount val="1"/>
                <c:pt idx="0">
                  <c:v>Thornback Ray</c:v>
                </c:pt>
              </c:strCache>
            </c:strRef>
          </c:tx>
          <c:spPr>
            <a:solidFill>
              <a:srgbClr val="FED825"/>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trawl-seine'!$C$166:$E$166</c:f>
              <c:numCache>
                <c:formatCode>0%</c:formatCode>
                <c:ptCount val="3"/>
                <c:pt idx="0">
                  <c:v>0</c:v>
                </c:pt>
                <c:pt idx="1">
                  <c:v>5.249638353005523E-2</c:v>
                </c:pt>
                <c:pt idx="2">
                  <c:v>0</c:v>
                </c:pt>
              </c:numCache>
            </c:numRef>
          </c:val>
          <c:extLst>
            <c:ext xmlns:c16="http://schemas.microsoft.com/office/drawing/2014/chart" uri="{C3380CC4-5D6E-409C-BE32-E72D297353CC}">
              <c16:uniqueId val="{00000004-06FB-452A-B383-5A1CACC6261F}"/>
            </c:ext>
          </c:extLst>
        </c:ser>
        <c:ser>
          <c:idx val="5"/>
          <c:order val="5"/>
          <c:tx>
            <c:strRef>
              <c:f>'U10m demersal trawl-seine'!$B$167</c:f>
              <c:strCache>
                <c:ptCount val="1"/>
                <c:pt idx="0">
                  <c:v>Whiting</c:v>
                </c:pt>
              </c:strCache>
            </c:strRef>
          </c:tx>
          <c:spPr>
            <a:solidFill>
              <a:srgbClr val="707271"/>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trawl-seine'!$C$167:$E$167</c:f>
              <c:numCache>
                <c:formatCode>0%</c:formatCode>
                <c:ptCount val="3"/>
                <c:pt idx="0">
                  <c:v>0</c:v>
                </c:pt>
                <c:pt idx="1">
                  <c:v>0</c:v>
                </c:pt>
                <c:pt idx="2">
                  <c:v>5.9100560825726386E-2</c:v>
                </c:pt>
              </c:numCache>
            </c:numRef>
          </c:val>
          <c:extLst>
            <c:ext xmlns:c16="http://schemas.microsoft.com/office/drawing/2014/chart" uri="{C3380CC4-5D6E-409C-BE32-E72D297353CC}">
              <c16:uniqueId val="{00000005-06FB-452A-B383-5A1CACC6261F}"/>
            </c:ext>
          </c:extLst>
        </c:ser>
        <c:ser>
          <c:idx val="6"/>
          <c:order val="6"/>
          <c:tx>
            <c:strRef>
              <c:f>'U10m demersal trawl-seine'!$B$168</c:f>
              <c:strCache>
                <c:ptCount val="1"/>
                <c:pt idx="0">
                  <c:v>Cuttlefish</c:v>
                </c:pt>
              </c:strCache>
            </c:strRef>
          </c:tx>
          <c:spPr>
            <a:solidFill>
              <a:srgbClr val="C1D119"/>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trawl-seine'!$C$168:$E$168</c:f>
              <c:numCache>
                <c:formatCode>0%</c:formatCode>
                <c:ptCount val="3"/>
                <c:pt idx="0">
                  <c:v>7.4552973959216548E-2</c:v>
                </c:pt>
                <c:pt idx="1">
                  <c:v>0</c:v>
                </c:pt>
                <c:pt idx="2">
                  <c:v>0</c:v>
                </c:pt>
              </c:numCache>
            </c:numRef>
          </c:val>
          <c:extLst>
            <c:ext xmlns:c16="http://schemas.microsoft.com/office/drawing/2014/chart" uri="{C3380CC4-5D6E-409C-BE32-E72D297353CC}">
              <c16:uniqueId val="{00000006-06FB-452A-B383-5A1CACC6261F}"/>
            </c:ext>
          </c:extLst>
        </c:ser>
        <c:ser>
          <c:idx val="7"/>
          <c:order val="7"/>
          <c:tx>
            <c:strRef>
              <c:f>'U10m demersal trawl-seine'!$B$169</c:f>
              <c:strCache>
                <c:ptCount val="1"/>
                <c:pt idx="0">
                  <c:v>Scallops</c:v>
                </c:pt>
              </c:strCache>
            </c:strRef>
          </c:tx>
          <c:spPr>
            <a:solidFill>
              <a:srgbClr val="51AA81"/>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trawl-seine'!$C$169:$E$169</c:f>
              <c:numCache>
                <c:formatCode>0%</c:formatCode>
                <c:ptCount val="3"/>
                <c:pt idx="0">
                  <c:v>7.0050046587917816E-2</c:v>
                </c:pt>
                <c:pt idx="1">
                  <c:v>0</c:v>
                </c:pt>
                <c:pt idx="2">
                  <c:v>0</c:v>
                </c:pt>
              </c:numCache>
            </c:numRef>
          </c:val>
          <c:extLst>
            <c:ext xmlns:c16="http://schemas.microsoft.com/office/drawing/2014/chart" uri="{C3380CC4-5D6E-409C-BE32-E72D297353CC}">
              <c16:uniqueId val="{00000007-06FB-452A-B383-5A1CACC6261F}"/>
            </c:ext>
          </c:extLst>
        </c:ser>
        <c:ser>
          <c:idx val="8"/>
          <c:order val="8"/>
          <c:tx>
            <c:strRef>
              <c:f>'U10m demersal trawl-seine'!$B$170</c:f>
              <c:strCache>
                <c:ptCount val="1"/>
                <c:pt idx="0">
                  <c:v>Others</c:v>
                </c:pt>
              </c:strCache>
            </c:strRef>
          </c:tx>
          <c:spPr>
            <a:solidFill>
              <a:srgbClr val="55585A"/>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trawl-seine'!$C$170:$E$170</c:f>
              <c:numCache>
                <c:formatCode>0%</c:formatCode>
                <c:ptCount val="3"/>
                <c:pt idx="0">
                  <c:v>0.28914858466202786</c:v>
                </c:pt>
                <c:pt idx="1">
                  <c:v>0.22465664954392284</c:v>
                </c:pt>
                <c:pt idx="2">
                  <c:v>0.32947393353618526</c:v>
                </c:pt>
              </c:numCache>
            </c:numRef>
          </c:val>
          <c:extLst>
            <c:ext xmlns:c16="http://schemas.microsoft.com/office/drawing/2014/chart" uri="{C3380CC4-5D6E-409C-BE32-E72D297353CC}">
              <c16:uniqueId val="{00000008-06FB-452A-B383-5A1CACC6261F}"/>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'U10m demersal trawl-seine'!$H$162</c:f>
              <c:strCache>
                <c:ptCount val="1"/>
                <c:pt idx="0">
                  <c:v>Nephrops</c:v>
                </c:pt>
              </c:strCache>
            </c:strRef>
          </c:tx>
          <c:spPr>
            <a:solidFill>
              <a:srgbClr val="2273B9"/>
            </a:solidFill>
            <a:ln>
              <a:solidFill>
                <a:srgbClr val="FFFFFF"/>
              </a:solidFill>
            </a:ln>
          </c:spPr>
          <c:invertIfNegative val="0"/>
          <c:cat>
            <c:strRef>
              <c:f>'U10m demersal trawl-seine'!$I$161:$K$161</c:f>
              <c:strCache>
                <c:ptCount val="3"/>
                <c:pt idx="0">
                  <c:v>Most
profitable
quartile</c:v>
                </c:pt>
                <c:pt idx="1">
                  <c:v>Middle 
two quartiles</c:v>
                </c:pt>
                <c:pt idx="2">
                  <c:v>Least
profitable
quartile</c:v>
                </c:pt>
              </c:strCache>
            </c:strRef>
          </c:cat>
          <c:val>
            <c:numRef>
              <c:f>'U10m demersal trawl-seine'!$I$162:$K$162</c:f>
              <c:numCache>
                <c:formatCode>0%</c:formatCode>
                <c:ptCount val="3"/>
                <c:pt idx="0">
                  <c:v>0.47611889999794782</c:v>
                </c:pt>
                <c:pt idx="1">
                  <c:v>0.55779701457739128</c:v>
                </c:pt>
                <c:pt idx="2">
                  <c:v>0.45689758784113821</c:v>
                </c:pt>
              </c:numCache>
            </c:numRef>
          </c:val>
          <c:extLst>
            <c:ext xmlns:c16="http://schemas.microsoft.com/office/drawing/2014/chart" uri="{C3380CC4-5D6E-409C-BE32-E72D297353CC}">
              <c16:uniqueId val="{00000000-3F00-4EB9-9703-9DE1BA186FA9}"/>
            </c:ext>
          </c:extLst>
        </c:ser>
        <c:ser>
          <c:idx val="1"/>
          <c:order val="1"/>
          <c:tx>
            <c:strRef>
              <c:f>'U10m demersal trawl-seine'!$H$163</c:f>
              <c:strCache>
                <c:ptCount val="1"/>
                <c:pt idx="0">
                  <c:v>Sole</c:v>
                </c:pt>
              </c:strCache>
            </c:strRef>
          </c:tx>
          <c:spPr>
            <a:solidFill>
              <a:srgbClr val="E87308"/>
            </a:solidFill>
            <a:ln>
              <a:solidFill>
                <a:srgbClr val="FFFFFF"/>
              </a:solidFill>
            </a:ln>
          </c:spPr>
          <c:invertIfNegative val="0"/>
          <c:cat>
            <c:strRef>
              <c:f>'U10m demersal trawl-seine'!$I$161:$K$161</c:f>
              <c:strCache>
                <c:ptCount val="3"/>
                <c:pt idx="0">
                  <c:v>Most
profitable
quartile</c:v>
                </c:pt>
                <c:pt idx="1">
                  <c:v>Middle 
two quartiles</c:v>
                </c:pt>
                <c:pt idx="2">
                  <c:v>Least
profitable
quartile</c:v>
                </c:pt>
              </c:strCache>
            </c:strRef>
          </c:cat>
          <c:val>
            <c:numRef>
              <c:f>'U10m demersal trawl-seine'!$I$163:$K$163</c:f>
              <c:numCache>
                <c:formatCode>0%</c:formatCode>
                <c:ptCount val="3"/>
                <c:pt idx="0">
                  <c:v>9.7815720398624031E-2</c:v>
                </c:pt>
                <c:pt idx="1">
                  <c:v>0.12368944729469734</c:v>
                </c:pt>
                <c:pt idx="2">
                  <c:v>9.4099480040916852E-2</c:v>
                </c:pt>
              </c:numCache>
            </c:numRef>
          </c:val>
          <c:extLst>
            <c:ext xmlns:c16="http://schemas.microsoft.com/office/drawing/2014/chart" uri="{C3380CC4-5D6E-409C-BE32-E72D297353CC}">
              <c16:uniqueId val="{00000001-3F00-4EB9-9703-9DE1BA186FA9}"/>
            </c:ext>
          </c:extLst>
        </c:ser>
        <c:ser>
          <c:idx val="2"/>
          <c:order val="2"/>
          <c:tx>
            <c:strRef>
              <c:f>'U10m demersal trawl-seine'!$H$164</c:f>
              <c:strCache>
                <c:ptCount val="1"/>
                <c:pt idx="0">
                  <c:v>Squid</c:v>
                </c:pt>
              </c:strCache>
            </c:strRef>
          </c:tx>
          <c:spPr>
            <a:solidFill>
              <a:srgbClr val="648C2E"/>
            </a:solidFill>
            <a:ln>
              <a:solidFill>
                <a:srgbClr val="FFFFFF"/>
              </a:solidFill>
            </a:ln>
          </c:spPr>
          <c:invertIfNegative val="0"/>
          <c:cat>
            <c:strRef>
              <c:f>'U10m demersal trawl-seine'!$I$161:$K$161</c:f>
              <c:strCache>
                <c:ptCount val="3"/>
                <c:pt idx="0">
                  <c:v>Most
profitable
quartile</c:v>
                </c:pt>
                <c:pt idx="1">
                  <c:v>Middle 
two quartiles</c:v>
                </c:pt>
                <c:pt idx="2">
                  <c:v>Least
profitable
quartile</c:v>
                </c:pt>
              </c:strCache>
            </c:strRef>
          </c:cat>
          <c:val>
            <c:numRef>
              <c:f>'U10m demersal trawl-seine'!$I$164:$K$164</c:f>
              <c:numCache>
                <c:formatCode>0%</c:formatCode>
                <c:ptCount val="3"/>
                <c:pt idx="0">
                  <c:v>8.6652913508982396E-2</c:v>
                </c:pt>
                <c:pt idx="1">
                  <c:v>7.8661113046540304E-2</c:v>
                </c:pt>
                <c:pt idx="2">
                  <c:v>8.9366493701755312E-2</c:v>
                </c:pt>
              </c:numCache>
            </c:numRef>
          </c:val>
          <c:extLst>
            <c:ext xmlns:c16="http://schemas.microsoft.com/office/drawing/2014/chart" uri="{C3380CC4-5D6E-409C-BE32-E72D297353CC}">
              <c16:uniqueId val="{00000002-3F00-4EB9-9703-9DE1BA186FA9}"/>
            </c:ext>
          </c:extLst>
        </c:ser>
        <c:ser>
          <c:idx val="3"/>
          <c:order val="3"/>
          <c:tx>
            <c:strRef>
              <c:f>'U10m demersal trawl-seine'!$H$165</c:f>
              <c:strCache>
                <c:ptCount val="1"/>
                <c:pt idx="0">
                  <c:v>Plaice</c:v>
                </c:pt>
              </c:strCache>
            </c:strRef>
          </c:tx>
          <c:spPr>
            <a:solidFill>
              <a:srgbClr val="E84A38"/>
            </a:solidFill>
            <a:ln>
              <a:solidFill>
                <a:srgbClr val="FFFFFF"/>
              </a:solidFill>
            </a:ln>
          </c:spPr>
          <c:invertIfNegative val="0"/>
          <c:cat>
            <c:strRef>
              <c:f>'U10m demersal trawl-seine'!$I$161:$K$161</c:f>
              <c:strCache>
                <c:ptCount val="3"/>
                <c:pt idx="0">
                  <c:v>Most
profitable
quartile</c:v>
                </c:pt>
                <c:pt idx="1">
                  <c:v>Middle 
two quartiles</c:v>
                </c:pt>
                <c:pt idx="2">
                  <c:v>Least
profitable
quartile</c:v>
                </c:pt>
              </c:strCache>
            </c:strRef>
          </c:cat>
          <c:val>
            <c:numRef>
              <c:f>'U10m demersal trawl-seine'!$I$165:$K$165</c:f>
              <c:numCache>
                <c:formatCode>0%</c:formatCode>
                <c:ptCount val="3"/>
                <c:pt idx="0">
                  <c:v>0</c:v>
                </c:pt>
                <c:pt idx="1">
                  <c:v>6.220097544579474E-2</c:v>
                </c:pt>
                <c:pt idx="2">
                  <c:v>5.265232513604428E-2</c:v>
                </c:pt>
              </c:numCache>
            </c:numRef>
          </c:val>
          <c:extLst>
            <c:ext xmlns:c16="http://schemas.microsoft.com/office/drawing/2014/chart" uri="{C3380CC4-5D6E-409C-BE32-E72D297353CC}">
              <c16:uniqueId val="{00000003-3F00-4EB9-9703-9DE1BA186FA9}"/>
            </c:ext>
          </c:extLst>
        </c:ser>
        <c:ser>
          <c:idx val="4"/>
          <c:order val="4"/>
          <c:tx>
            <c:strRef>
              <c:f>'U10m demersal trawl-seine'!$H$166</c:f>
              <c:strCache>
                <c:ptCount val="1"/>
                <c:pt idx="0">
                  <c:v>Cuttlefish</c:v>
                </c:pt>
              </c:strCache>
            </c:strRef>
          </c:tx>
          <c:spPr>
            <a:solidFill>
              <a:srgbClr val="C1D119"/>
            </a:solidFill>
            <a:ln>
              <a:solidFill>
                <a:srgbClr val="FFFFFF"/>
              </a:solidFill>
            </a:ln>
          </c:spPr>
          <c:invertIfNegative val="0"/>
          <c:cat>
            <c:strRef>
              <c:f>'U10m demersal trawl-seine'!$I$161:$K$161</c:f>
              <c:strCache>
                <c:ptCount val="3"/>
                <c:pt idx="0">
                  <c:v>Most
profitable
quartile</c:v>
                </c:pt>
                <c:pt idx="1">
                  <c:v>Middle 
two quartiles</c:v>
                </c:pt>
                <c:pt idx="2">
                  <c:v>Least
profitable
quartile</c:v>
                </c:pt>
              </c:strCache>
            </c:strRef>
          </c:cat>
          <c:val>
            <c:numRef>
              <c:f>'U10m demersal trawl-seine'!$I$166:$K$166</c:f>
              <c:numCache>
                <c:formatCode>0%</c:formatCode>
                <c:ptCount val="3"/>
                <c:pt idx="0">
                  <c:v>6.322841361123864E-2</c:v>
                </c:pt>
                <c:pt idx="1">
                  <c:v>5.0049173768342135E-2</c:v>
                </c:pt>
                <c:pt idx="2">
                  <c:v>3.7281553610689605E-2</c:v>
                </c:pt>
              </c:numCache>
            </c:numRef>
          </c:val>
          <c:extLst>
            <c:ext xmlns:c16="http://schemas.microsoft.com/office/drawing/2014/chart" uri="{C3380CC4-5D6E-409C-BE32-E72D297353CC}">
              <c16:uniqueId val="{00000004-3F00-4EB9-9703-9DE1BA186FA9}"/>
            </c:ext>
          </c:extLst>
        </c:ser>
        <c:ser>
          <c:idx val="5"/>
          <c:order val="5"/>
          <c:tx>
            <c:strRef>
              <c:f>'U10m demersal trawl-seine'!$H$167</c:f>
              <c:strCache>
                <c:ptCount val="1"/>
                <c:pt idx="0">
                  <c:v>Scallops</c:v>
                </c:pt>
              </c:strCache>
            </c:strRef>
          </c:tx>
          <c:spPr>
            <a:solidFill>
              <a:srgbClr val="51AA81"/>
            </a:solidFill>
            <a:ln>
              <a:solidFill>
                <a:srgbClr val="FFFFFF"/>
              </a:solidFill>
            </a:ln>
          </c:spPr>
          <c:invertIfNegative val="0"/>
          <c:cat>
            <c:strRef>
              <c:f>'U10m demersal trawl-seine'!$I$161:$K$161</c:f>
              <c:strCache>
                <c:ptCount val="3"/>
                <c:pt idx="0">
                  <c:v>Most
profitable
quartile</c:v>
                </c:pt>
                <c:pt idx="1">
                  <c:v>Middle 
two quartiles</c:v>
                </c:pt>
                <c:pt idx="2">
                  <c:v>Least
profitable
quartile</c:v>
                </c:pt>
              </c:strCache>
            </c:strRef>
          </c:cat>
          <c:val>
            <c:numRef>
              <c:f>'U10m demersal trawl-seine'!$I$167:$K$167</c:f>
              <c:numCache>
                <c:formatCode>0%</c:formatCode>
                <c:ptCount val="3"/>
                <c:pt idx="0">
                  <c:v>5.7598614378667673E-2</c:v>
                </c:pt>
                <c:pt idx="1">
                  <c:v>0</c:v>
                </c:pt>
                <c:pt idx="2">
                  <c:v>0</c:v>
                </c:pt>
              </c:numCache>
            </c:numRef>
          </c:val>
          <c:extLst>
            <c:ext xmlns:c16="http://schemas.microsoft.com/office/drawing/2014/chart" uri="{C3380CC4-5D6E-409C-BE32-E72D297353CC}">
              <c16:uniqueId val="{00000005-3F00-4EB9-9703-9DE1BA186FA9}"/>
            </c:ext>
          </c:extLst>
        </c:ser>
        <c:ser>
          <c:idx val="6"/>
          <c:order val="6"/>
          <c:tx>
            <c:strRef>
              <c:f>'U10m demersal trawl-seine'!$H$168</c:f>
              <c:strCache>
                <c:ptCount val="1"/>
                <c:pt idx="0">
                  <c:v>Others</c:v>
                </c:pt>
              </c:strCache>
            </c:strRef>
          </c:tx>
          <c:spPr>
            <a:solidFill>
              <a:srgbClr val="55585A"/>
            </a:solidFill>
            <a:ln>
              <a:solidFill>
                <a:srgbClr val="FFFFFF"/>
              </a:solidFill>
            </a:ln>
          </c:spPr>
          <c:invertIfNegative val="0"/>
          <c:cat>
            <c:strRef>
              <c:f>'U10m demersal trawl-seine'!$I$161:$K$161</c:f>
              <c:strCache>
                <c:ptCount val="3"/>
                <c:pt idx="0">
                  <c:v>Most
profitable
quartile</c:v>
                </c:pt>
                <c:pt idx="1">
                  <c:v>Middle 
two quartiles</c:v>
                </c:pt>
                <c:pt idx="2">
                  <c:v>Least
profitable
quartile</c:v>
                </c:pt>
              </c:strCache>
            </c:strRef>
          </c:cat>
          <c:val>
            <c:numRef>
              <c:f>'U10m demersal trawl-seine'!$I$168:$K$168</c:f>
              <c:numCache>
                <c:formatCode>0%</c:formatCode>
                <c:ptCount val="3"/>
                <c:pt idx="0">
                  <c:v>0.21858543810453945</c:v>
                </c:pt>
                <c:pt idx="1">
                  <c:v>0.12760227586723416</c:v>
                </c:pt>
                <c:pt idx="2">
                  <c:v>0.26970255966945578</c:v>
                </c:pt>
              </c:numCache>
            </c:numRef>
          </c:val>
          <c:extLst>
            <c:ext xmlns:c16="http://schemas.microsoft.com/office/drawing/2014/chart" uri="{C3380CC4-5D6E-409C-BE32-E72D297353CC}">
              <c16:uniqueId val="{00000006-3F00-4EB9-9703-9DE1BA186FA9}"/>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'U10m demersal trawl-seine'!$K$139</c:f>
              <c:strCache>
                <c:ptCount val="1"/>
                <c:pt idx="0">
                  <c:v>Total income</c:v>
                </c:pt>
              </c:strCache>
            </c:strRef>
          </c:tx>
          <c:spPr>
            <a:solidFill>
              <a:srgbClr val="087CBB"/>
            </a:solidFill>
            <a:ln>
              <a:solidFill>
                <a:schemeClr val="accent1"/>
              </a:solidFill>
            </a:ln>
          </c:spPr>
          <c:invertIfNegative val="0"/>
          <c:cat>
            <c:strRef>
              <c:f>'U10m demersal trawl-seine'!$L$138:$N$138</c:f>
              <c:strCache>
                <c:ptCount val="3"/>
                <c:pt idx="0">
                  <c:v>Most
profitable
quartile</c:v>
                </c:pt>
                <c:pt idx="1">
                  <c:v>Middle
two quartiles</c:v>
                </c:pt>
                <c:pt idx="2">
                  <c:v>Least
profitable
quartile</c:v>
                </c:pt>
              </c:strCache>
            </c:strRef>
          </c:cat>
          <c:val>
            <c:numRef>
              <c:f>'U10m demersal trawl-seine'!$L$139:$N$139</c:f>
              <c:numCache>
                <c:formatCode>#,##0</c:formatCode>
                <c:ptCount val="3"/>
                <c:pt idx="0">
                  <c:v>166.713296875</c:v>
                </c:pt>
                <c:pt idx="1">
                  <c:v>79.845922722138596</c:v>
                </c:pt>
                <c:pt idx="2">
                  <c:v>40.026628906249996</c:v>
                </c:pt>
              </c:numCache>
            </c:numRef>
          </c:val>
          <c:extLst>
            <c:ext xmlns:c16="http://schemas.microsoft.com/office/drawing/2014/chart" uri="{C3380CC4-5D6E-409C-BE32-E72D297353CC}">
              <c16:uniqueId val="{00000000-A661-4EFE-9D74-1A81D2C0A1C1}"/>
            </c:ext>
          </c:extLst>
        </c:ser>
        <c:ser>
          <c:idx val="1"/>
          <c:order val="1"/>
          <c:tx>
            <c:strRef>
              <c:f>'U10m demersal trawl-seine'!$K$140</c:f>
              <c:strCache>
                <c:ptCount val="1"/>
                <c:pt idx="0">
                  <c:v>Operating costs</c:v>
                </c:pt>
              </c:strCache>
            </c:strRef>
          </c:tx>
          <c:spPr>
            <a:solidFill>
              <a:srgbClr val="E87308"/>
            </a:solidFill>
          </c:spPr>
          <c:invertIfNegative val="0"/>
          <c:cat>
            <c:strRef>
              <c:f>'U10m demersal trawl-seine'!$L$138:$N$138</c:f>
              <c:strCache>
                <c:ptCount val="3"/>
                <c:pt idx="0">
                  <c:v>Most
profitable
quartile</c:v>
                </c:pt>
                <c:pt idx="1">
                  <c:v>Middle
two quartiles</c:v>
                </c:pt>
                <c:pt idx="2">
                  <c:v>Least
profitable
quartile</c:v>
                </c:pt>
              </c:strCache>
            </c:strRef>
          </c:cat>
          <c:val>
            <c:numRef>
              <c:f>'U10m demersal trawl-seine'!$L$140:$N$140</c:f>
              <c:numCache>
                <c:formatCode>#,##0</c:formatCode>
                <c:ptCount val="3"/>
                <c:pt idx="0">
                  <c:v>129.89861718750001</c:v>
                </c:pt>
                <c:pt idx="1">
                  <c:v>67.098626882530098</c:v>
                </c:pt>
                <c:pt idx="2">
                  <c:v>38.068980468749999</c:v>
                </c:pt>
              </c:numCache>
            </c:numRef>
          </c:val>
          <c:extLst>
            <c:ext xmlns:c16="http://schemas.microsoft.com/office/drawing/2014/chart" uri="{C3380CC4-5D6E-409C-BE32-E72D297353CC}">
              <c16:uniqueId val="{00000001-A661-4EFE-9D74-1A81D2C0A1C1}"/>
            </c:ext>
          </c:extLst>
        </c:ser>
        <c:ser>
          <c:idx val="2"/>
          <c:order val="2"/>
          <c:tx>
            <c:strRef>
              <c:f>'U10m demersal trawl-seine'!$K$141</c:f>
              <c:strCache>
                <c:ptCount val="1"/>
                <c:pt idx="0">
                  <c:v>Operating profit</c:v>
                </c:pt>
              </c:strCache>
            </c:strRef>
          </c:tx>
          <c:spPr>
            <a:solidFill>
              <a:srgbClr val="51AA81"/>
            </a:solidFill>
          </c:spPr>
          <c:invertIfNegative val="0"/>
          <c:cat>
            <c:strRef>
              <c:f>'U10m demersal trawl-seine'!$L$138:$N$138</c:f>
              <c:strCache>
                <c:ptCount val="3"/>
                <c:pt idx="0">
                  <c:v>Most
profitable
quartile</c:v>
                </c:pt>
                <c:pt idx="1">
                  <c:v>Middle
two quartiles</c:v>
                </c:pt>
                <c:pt idx="2">
                  <c:v>Least
profitable
quartile</c:v>
                </c:pt>
              </c:strCache>
            </c:strRef>
          </c:cat>
          <c:val>
            <c:numRef>
              <c:f>'U10m demersal trawl-seine'!$L$141:$N$141</c:f>
              <c:numCache>
                <c:formatCode>#,##0</c:formatCode>
                <c:ptCount val="3"/>
                <c:pt idx="0">
                  <c:v>36.814679687500004</c:v>
                </c:pt>
                <c:pt idx="1">
                  <c:v>12.7472958396084</c:v>
                </c:pt>
                <c:pt idx="2">
                  <c:v>1.9576484375000001</c:v>
                </c:pt>
              </c:numCache>
            </c:numRef>
          </c:val>
          <c:extLst>
            <c:ext xmlns:c16="http://schemas.microsoft.com/office/drawing/2014/chart" uri="{C3380CC4-5D6E-409C-BE32-E72D297353CC}">
              <c16:uniqueId val="{00000002-A661-4EFE-9D74-1A81D2C0A1C1}"/>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'U10m demersal trawl-seine'!$K$142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nets'!$A$48</c:f>
          <c:strCache>
            <c:ptCount val="1"/>
            <c:pt idx="0">
              <c:v>Landings per kW day at sea (kg)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18D2-4BF6-8EF3-4A352BBEC031}"/>
              </c:ext>
            </c:extLst>
          </c:dPt>
          <c:dPt>
            <c:idx val="10"/>
            <c:bubble3D val="0"/>
            <c:spPr>
              <a:ln w="57150">
                <a:solidFill>
                  <a:srgbClr val="2273B9"/>
                </a:solidFill>
                <a:prstDash val="sysDot"/>
              </a:ln>
            </c:spPr>
            <c:extLst>
              <c:ext xmlns:c16="http://schemas.microsoft.com/office/drawing/2014/chart" uri="{C3380CC4-5D6E-409C-BE32-E72D297353CC}">
                <c16:uniqueId val="{00000003-18D2-4BF6-8EF3-4A352BBEC031}"/>
              </c:ext>
            </c:extLst>
          </c:dPt>
          <c:cat>
            <c:numRef>
              <c:f>'U10m drift-fixed nets'!$D$2:$N$2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'U10m drift-fixed nets'!$D$21:$N$21</c:f>
              <c:numCache>
                <c:formatCode>#,##0.00</c:formatCode>
                <c:ptCount val="11"/>
                <c:pt idx="0">
                  <c:v>2.7475684627151202</c:v>
                </c:pt>
                <c:pt idx="1">
                  <c:v>2.5747653644675843</c:v>
                </c:pt>
                <c:pt idx="2">
                  <c:v>2.4833358819718883</c:v>
                </c:pt>
                <c:pt idx="3">
                  <c:v>2.6762825742437659</c:v>
                </c:pt>
                <c:pt idx="4">
                  <c:v>2.5586458683301396</c:v>
                </c:pt>
                <c:pt idx="5">
                  <c:v>2.3211940517843908</c:v>
                </c:pt>
                <c:pt idx="6">
                  <c:v>2.600185638249632</c:v>
                </c:pt>
                <c:pt idx="7">
                  <c:v>2.5262490679817096</c:v>
                </c:pt>
                <c:pt idx="8">
                  <c:v>2.5685849396770735</c:v>
                </c:pt>
                <c:pt idx="9">
                  <c:v>2.6046606473072682</c:v>
                </c:pt>
                <c:pt idx="10">
                  <c:v>3.7208516797231921</c:v>
                </c:pt>
              </c:numCache>
            </c:numRef>
          </c:val>
          <c:smooth val="0"/>
          <c:extLst>
            <c:ext xmlns:c16="http://schemas.microsoft.com/office/drawing/2014/chart" uri="{C3380CC4-5D6E-409C-BE32-E72D297353CC}">
              <c16:uniqueId val="{00000004-18D2-4BF6-8EF3-4A352BBEC031}"/>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nets'!$A$49</c:f>
          <c:strCache>
            <c:ptCount val="1"/>
            <c:pt idx="0">
              <c:v>Fishing income per kW day at sea (£)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A394-4C53-8B87-7F8B34AC69A8}"/>
              </c:ext>
            </c:extLst>
          </c:dPt>
          <c:dPt>
            <c:idx val="10"/>
            <c:bubble3D val="0"/>
            <c:spPr>
              <a:ln w="57150">
                <a:solidFill>
                  <a:srgbClr val="648C2E"/>
                </a:solidFill>
                <a:prstDash val="sysDot"/>
              </a:ln>
            </c:spPr>
            <c:extLst>
              <c:ext xmlns:c16="http://schemas.microsoft.com/office/drawing/2014/chart" uri="{C3380CC4-5D6E-409C-BE32-E72D297353CC}">
                <c16:uniqueId val="{00000003-A394-4C53-8B87-7F8B34AC69A8}"/>
              </c:ext>
            </c:extLst>
          </c:dPt>
          <c:cat>
            <c:numRef>
              <c:f>'U10m drift-fixed nets'!$D$2:$N$2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'U10m drift-fixed nets'!$D$22:$N$22</c:f>
              <c:numCache>
                <c:formatCode>#,##0.00</c:formatCode>
                <c:ptCount val="11"/>
                <c:pt idx="0">
                  <c:v>6.4353805046982302</c:v>
                </c:pt>
                <c:pt idx="1">
                  <c:v>6.8405278573837096</c:v>
                </c:pt>
                <c:pt idx="2">
                  <c:v>6.5722098960994</c:v>
                </c:pt>
                <c:pt idx="3">
                  <c:v>6.9831586639183802</c:v>
                </c:pt>
                <c:pt idx="4">
                  <c:v>7.2426840944906896</c:v>
                </c:pt>
                <c:pt idx="5">
                  <c:v>6.3914518038799697</c:v>
                </c:pt>
                <c:pt idx="6">
                  <c:v>6.6955771621374902</c:v>
                </c:pt>
                <c:pt idx="7">
                  <c:v>7.3976351010001498</c:v>
                </c:pt>
                <c:pt idx="8">
                  <c:v>7.9257720673652798</c:v>
                </c:pt>
                <c:pt idx="9">
                  <c:v>8.1779534283154298</c:v>
                </c:pt>
                <c:pt idx="10">
                  <c:v>8.2770853289874111</c:v>
                </c:pt>
              </c:numCache>
            </c:numRef>
          </c:val>
          <c:smooth val="0"/>
          <c:extLst>
            <c:ext xmlns:c16="http://schemas.microsoft.com/office/drawing/2014/chart" uri="{C3380CC4-5D6E-409C-BE32-E72D297353CC}">
              <c16:uniqueId val="{00000004-A394-4C53-8B87-7F8B34AC69A8}"/>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nets'!$B$62</c:f>
          <c:strCache>
            <c:ptCount val="1"/>
            <c:pt idx="0">
              <c:v>Total cost per kW day at sea (£)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3B6B-487A-A039-543595D4F05C}"/>
              </c:ext>
            </c:extLst>
          </c:dPt>
          <c:dPt>
            <c:idx val="10"/>
            <c:bubble3D val="0"/>
            <c:spPr>
              <a:ln w="57150">
                <a:solidFill>
                  <a:srgbClr val="087CBB"/>
                </a:solidFill>
                <a:prstDash val="sysDot"/>
              </a:ln>
            </c:spPr>
            <c:extLst>
              <c:ext xmlns:c16="http://schemas.microsoft.com/office/drawing/2014/chart" uri="{C3380CC4-5D6E-409C-BE32-E72D297353CC}">
                <c16:uniqueId val="{00000003-3B6B-487A-A039-543595D4F05C}"/>
              </c:ext>
            </c:extLst>
          </c:dPt>
          <c:cat>
            <c:numRef>
              <c:f>'U10m drift-fixed nets'!$D$2:$N$2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'U10m drift-fixed nets'!$D$23:$N$23</c:f>
              <c:numCache>
                <c:formatCode>#,##0.00</c:formatCode>
                <c:ptCount val="11"/>
                <c:pt idx="0">
                  <c:v>4.8904892492797396</c:v>
                </c:pt>
                <c:pt idx="1">
                  <c:v>5.1366182928113604</c:v>
                </c:pt>
                <c:pt idx="2">
                  <c:v>4.6259034709089697</c:v>
                </c:pt>
                <c:pt idx="3">
                  <c:v>4.90987993334981</c:v>
                </c:pt>
                <c:pt idx="4">
                  <c:v>5.0863128228880798</c:v>
                </c:pt>
                <c:pt idx="5">
                  <c:v>4.8121178019885704</c:v>
                </c:pt>
                <c:pt idx="6">
                  <c:v>4.7288081835232303</c:v>
                </c:pt>
                <c:pt idx="7">
                  <c:v>4.9145581704816896</c:v>
                </c:pt>
                <c:pt idx="8">
                  <c:v>5.5806661658233896</c:v>
                </c:pt>
                <c:pt idx="9">
                  <c:v>5.3673600191346997</c:v>
                </c:pt>
                <c:pt idx="10">
                  <c:v>5.9949171531618273</c:v>
                </c:pt>
              </c:numCache>
            </c:numRef>
          </c:val>
          <c:smooth val="0"/>
          <c:extLst>
            <c:ext xmlns:c16="http://schemas.microsoft.com/office/drawing/2014/chart" uri="{C3380CC4-5D6E-409C-BE32-E72D297353CC}">
              <c16:uniqueId val="{00000004-3B6B-487A-A039-543595D4F05C}"/>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nets'!$K$48</c:f>
          <c:strCache>
            <c:ptCount val="1"/>
            <c:pt idx="0">
              <c:v>Operating profit per kW day at sea (£)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8AA6-47A8-BAA7-5F2D224ED558}"/>
              </c:ext>
            </c:extLst>
          </c:dPt>
          <c:dPt>
            <c:idx val="10"/>
            <c:bubble3D val="0"/>
            <c:spPr>
              <a:ln w="57150">
                <a:solidFill>
                  <a:schemeClr val="accent3"/>
                </a:solidFill>
                <a:prstDash val="sysDot"/>
              </a:ln>
            </c:spPr>
            <c:extLst>
              <c:ext xmlns:c16="http://schemas.microsoft.com/office/drawing/2014/chart" uri="{C3380CC4-5D6E-409C-BE32-E72D297353CC}">
                <c16:uniqueId val="{00000003-8AA6-47A8-BAA7-5F2D224ED558}"/>
              </c:ext>
            </c:extLst>
          </c:dPt>
          <c:cat>
            <c:numRef>
              <c:f>'U10m drift-fixed nets'!$D$2:$N$2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'U10m drift-fixed nets'!$D$24:$N$24</c:f>
              <c:numCache>
                <c:formatCode>#,##0.00</c:formatCode>
                <c:ptCount val="11"/>
                <c:pt idx="0">
                  <c:v>1.93223430105918</c:v>
                </c:pt>
                <c:pt idx="1">
                  <c:v>2.37757260570269</c:v>
                </c:pt>
                <c:pt idx="2">
                  <c:v>2.3693369465897098</c:v>
                </c:pt>
                <c:pt idx="3">
                  <c:v>2.1385454835453102</c:v>
                </c:pt>
                <c:pt idx="4">
                  <c:v>2.6766721030006599</c:v>
                </c:pt>
                <c:pt idx="5">
                  <c:v>1.66232143645812</c:v>
                </c:pt>
                <c:pt idx="6">
                  <c:v>2.06044722892188</c:v>
                </c:pt>
                <c:pt idx="7">
                  <c:v>2.75248933531017</c:v>
                </c:pt>
                <c:pt idx="8">
                  <c:v>2.3560574997612398</c:v>
                </c:pt>
                <c:pt idx="9">
                  <c:v>3.0521725075142001</c:v>
                </c:pt>
                <c:pt idx="10">
                  <c:v>3.291608436046598</c:v>
                </c:pt>
              </c:numCache>
            </c:numRef>
          </c:val>
          <c:smooth val="0"/>
          <c:extLst>
            <c:ext xmlns:c16="http://schemas.microsoft.com/office/drawing/2014/chart" uri="{C3380CC4-5D6E-409C-BE32-E72D297353CC}">
              <c16:uniqueId val="{00000004-8AA6-47A8-BAA7-5F2D224ED558}"/>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nets'!$A$50</c:f>
          <c:strCache>
            <c:ptCount val="1"/>
            <c:pt idx="0">
              <c:v>Average price per tonne landed (£)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AF01-494C-BF0D-DCE7F89D746A}"/>
              </c:ext>
            </c:extLst>
          </c:dPt>
          <c:dPt>
            <c:idx val="10"/>
            <c:bubble3D val="0"/>
            <c:spPr>
              <a:ln w="57150">
                <a:solidFill>
                  <a:schemeClr val="accent4"/>
                </a:solidFill>
                <a:prstDash val="sysDot"/>
              </a:ln>
            </c:spPr>
            <c:extLst>
              <c:ext xmlns:c16="http://schemas.microsoft.com/office/drawing/2014/chart" uri="{C3380CC4-5D6E-409C-BE32-E72D297353CC}">
                <c16:uniqueId val="{00000003-AF01-494C-BF0D-DCE7F89D746A}"/>
              </c:ext>
            </c:extLst>
          </c:dPt>
          <c:cat>
            <c:numRef>
              <c:f>'U10m drift-fixed nets'!$D$2:$M$2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'U10m drift-fixed nets'!$D$20:$N$20</c:f>
              <c:numCache>
                <c:formatCode>#,##0</c:formatCode>
                <c:ptCount val="11"/>
                <c:pt idx="0">
                  <c:v>2342</c:v>
                </c:pt>
                <c:pt idx="1">
                  <c:v>2657</c:v>
                </c:pt>
                <c:pt idx="2">
                  <c:v>2647</c:v>
                </c:pt>
                <c:pt idx="3">
                  <c:v>2609</c:v>
                </c:pt>
                <c:pt idx="4">
                  <c:v>2831</c:v>
                </c:pt>
                <c:pt idx="5">
                  <c:v>2754</c:v>
                </c:pt>
                <c:pt idx="6">
                  <c:v>2575</c:v>
                </c:pt>
                <c:pt idx="7">
                  <c:v>2928</c:v>
                </c:pt>
                <c:pt idx="8">
                  <c:v>3086</c:v>
                </c:pt>
                <c:pt idx="9">
                  <c:v>3140</c:v>
                </c:pt>
                <c:pt idx="10">
                  <c:v>2225</c:v>
                </c:pt>
              </c:numCache>
            </c:numRef>
          </c:val>
          <c:smooth val="0"/>
          <c:extLst>
            <c:ext xmlns:c16="http://schemas.microsoft.com/office/drawing/2014/chart" uri="{C3380CC4-5D6E-409C-BE32-E72D297353CC}">
              <c16:uniqueId val="{00000004-AF01-494C-BF0D-DCE7F89D746A}"/>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nets'!$K$62</c:f>
          <c:strCache>
            <c:ptCount val="1"/>
            <c:pt idx="0">
              <c:v>Average annual operating profit per vessel (£'000)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3D9D-41DB-8BF2-FBB99DAF00FF}"/>
              </c:ext>
            </c:extLst>
          </c:dPt>
          <c:dPt>
            <c:idx val="10"/>
            <c:bubble3D val="0"/>
            <c:spPr>
              <a:ln w="57150">
                <a:solidFill>
                  <a:schemeClr val="accent5"/>
                </a:solidFill>
                <a:prstDash val="sysDot"/>
              </a:ln>
            </c:spPr>
            <c:extLst>
              <c:ext xmlns:c16="http://schemas.microsoft.com/office/drawing/2014/chart" uri="{C3380CC4-5D6E-409C-BE32-E72D297353CC}">
                <c16:uniqueId val="{00000003-3D9D-41DB-8BF2-FBB99DAF00FF}"/>
              </c:ext>
            </c:extLst>
          </c:dPt>
          <c:cat>
            <c:numRef>
              <c:f>'U10m drift-fixed nets'!$D$2:$M$2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'U10m drift-fixed nets'!$D$37:$N$37</c:f>
              <c:numCache>
                <c:formatCode>#,##0.0</c:formatCode>
                <c:ptCount val="11"/>
                <c:pt idx="0">
                  <c:v>15.5</c:v>
                </c:pt>
                <c:pt idx="1">
                  <c:v>17.7</c:v>
                </c:pt>
                <c:pt idx="2">
                  <c:v>17.5</c:v>
                </c:pt>
                <c:pt idx="3">
                  <c:v>14.9</c:v>
                </c:pt>
                <c:pt idx="4">
                  <c:v>19.399999999999999</c:v>
                </c:pt>
                <c:pt idx="5">
                  <c:v>11.6</c:v>
                </c:pt>
                <c:pt idx="6">
                  <c:v>14.7</c:v>
                </c:pt>
                <c:pt idx="7">
                  <c:v>18.8</c:v>
                </c:pt>
                <c:pt idx="8">
                  <c:v>14.9</c:v>
                </c:pt>
                <c:pt idx="9">
                  <c:v>16</c:v>
                </c:pt>
                <c:pt idx="10">
                  <c:v>16.399999999999999</c:v>
                </c:pt>
              </c:numCache>
            </c:numRef>
          </c:val>
          <c:smooth val="0"/>
          <c:extLst>
            <c:ext xmlns:c16="http://schemas.microsoft.com/office/drawing/2014/chart" uri="{C3380CC4-5D6E-409C-BE32-E72D297353CC}">
              <c16:uniqueId val="{00000004-3D9D-41DB-8BF2-FBB99DAF00FF}"/>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drift-fixed nets'!$A$76</c:f>
          <c:strCache>
            <c:ptCount val="1"/>
            <c:pt idx="0">
              <c:v>Top 5 landed species by volume in 2019
Under 10m drift and/or fixed nets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C1D119"/>
              </a:solidFill>
              <a:ln>
                <a:solidFill>
                  <a:srgbClr val="FFFFFF"/>
                </a:solidFill>
              </a:ln>
            </c:spPr>
            <c:extLst>
              <c:ext xmlns:c16="http://schemas.microsoft.com/office/drawing/2014/chart" uri="{C3380CC4-5D6E-409C-BE32-E72D297353CC}">
                <c16:uniqueId val="{00000001-0EFF-455C-9AB3-5DD00066F38C}"/>
              </c:ext>
            </c:extLst>
          </c:dPt>
          <c:dPt>
            <c:idx val="1"/>
            <c:bubble3D val="0"/>
            <c:spPr>
              <a:solidFill>
                <a:srgbClr val="648C2E"/>
              </a:solidFill>
              <a:ln>
                <a:solidFill>
                  <a:srgbClr val="FFFFFF"/>
                </a:solidFill>
              </a:ln>
            </c:spPr>
            <c:extLst>
              <c:ext xmlns:c16="http://schemas.microsoft.com/office/drawing/2014/chart" uri="{C3380CC4-5D6E-409C-BE32-E72D297353CC}">
                <c16:uniqueId val="{00000003-0EFF-455C-9AB3-5DD00066F38C}"/>
              </c:ext>
            </c:extLst>
          </c:dPt>
          <c:dPt>
            <c:idx val="2"/>
            <c:bubble3D val="0"/>
            <c:spPr>
              <a:solidFill>
                <a:srgbClr val="0F9AA9"/>
              </a:solidFill>
              <a:ln>
                <a:solidFill>
                  <a:srgbClr val="FFFFFF"/>
                </a:solidFill>
              </a:ln>
            </c:spPr>
            <c:extLst>
              <c:ext xmlns:c16="http://schemas.microsoft.com/office/drawing/2014/chart" uri="{C3380CC4-5D6E-409C-BE32-E72D297353CC}">
                <c16:uniqueId val="{00000005-0EFF-455C-9AB3-5DD00066F38C}"/>
              </c:ext>
            </c:extLst>
          </c:dPt>
          <c:dPt>
            <c:idx val="3"/>
            <c:bubble3D val="0"/>
            <c:spPr>
              <a:solidFill>
                <a:srgbClr val="FED825"/>
              </a:solidFill>
              <a:ln>
                <a:solidFill>
                  <a:srgbClr val="FFFFFF"/>
                </a:solidFill>
              </a:ln>
            </c:spPr>
            <c:extLst>
              <c:ext xmlns:c16="http://schemas.microsoft.com/office/drawing/2014/chart" uri="{C3380CC4-5D6E-409C-BE32-E72D297353CC}">
                <c16:uniqueId val="{00000007-0EFF-455C-9AB3-5DD00066F38C}"/>
              </c:ext>
            </c:extLst>
          </c:dPt>
          <c:dPt>
            <c:idx val="4"/>
            <c:bubble3D val="0"/>
            <c:spPr>
              <a:solidFill>
                <a:srgbClr val="707271"/>
              </a:solidFill>
              <a:ln>
                <a:solidFill>
                  <a:srgbClr val="FFFFFF"/>
                </a:solidFill>
              </a:ln>
            </c:spPr>
            <c:extLst>
              <c:ext xmlns:c16="http://schemas.microsoft.com/office/drawing/2014/chart" uri="{C3380CC4-5D6E-409C-BE32-E72D297353CC}">
                <c16:uniqueId val="{00000009-0EFF-455C-9AB3-5DD00066F38C}"/>
              </c:ext>
            </c:extLst>
          </c:dPt>
          <c:dPt>
            <c:idx val="5"/>
            <c:bubble3D val="0"/>
            <c:spPr>
              <a:solidFill>
                <a:srgbClr val="55585A"/>
              </a:solidFill>
              <a:ln>
                <a:solidFill>
                  <a:srgbClr val="FFFFFF"/>
                </a:solidFill>
              </a:ln>
            </c:spPr>
            <c:extLst>
              <c:ext xmlns:c16="http://schemas.microsoft.com/office/drawing/2014/chart" uri="{C3380CC4-5D6E-409C-BE32-E72D297353CC}">
                <c16:uniqueId val="{0000000B-0EFF-455C-9AB3-5DD00066F38C}"/>
              </c:ext>
            </c:extLst>
          </c:dPt>
          <c:cat>
            <c:strRef>
              <c:f>'U10m drift-fixed nets'!$B$77:$B$82</c:f>
              <c:strCache>
                <c:ptCount val="6"/>
                <c:pt idx="0">
                  <c:v>Whelks - 19.0%</c:v>
                </c:pt>
                <c:pt idx="1">
                  <c:v>Pollack - 9.4%</c:v>
                </c:pt>
                <c:pt idx="2">
                  <c:v>Pilchards - 8.6%</c:v>
                </c:pt>
                <c:pt idx="3">
                  <c:v>Plaice - 7.6%</c:v>
                </c:pt>
                <c:pt idx="4">
                  <c:v>Thornback Ray - 7.0%</c:v>
                </c:pt>
                <c:pt idx="5">
                  <c:v>Others - 48.5%</c:v>
                </c:pt>
              </c:strCache>
            </c:strRef>
          </c:cat>
          <c:val>
            <c:numRef>
              <c:f>'U10m drift-fixed nets'!$C$77:$C$82</c:f>
              <c:numCache>
                <c:formatCode>0.0%</c:formatCode>
                <c:ptCount val="6"/>
                <c:pt idx="0">
                  <c:v>0.18953491978071485</c:v>
                </c:pt>
                <c:pt idx="1">
                  <c:v>9.3642511984674881E-2</c:v>
                </c:pt>
                <c:pt idx="2">
                  <c:v>8.5989992589950548E-2</c:v>
                </c:pt>
                <c:pt idx="3">
                  <c:v>7.5941620525775119E-2</c:v>
                </c:pt>
                <c:pt idx="4">
                  <c:v>6.9510722262917948E-2</c:v>
                </c:pt>
                <c:pt idx="5">
                  <c:v>0.48538023285596665</c:v>
                </c:pt>
              </c:numCache>
            </c:numRef>
          </c:val>
          <c:extLst>
            <c:ext xmlns:c16="http://schemas.microsoft.com/office/drawing/2014/chart" uri="{C3380CC4-5D6E-409C-BE32-E72D297353CC}">
              <c16:uniqueId val="{0000000C-0EFF-455C-9AB3-5DD00066F38C}"/>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u250kW'!$F$76</c:f>
          <c:strCache>
            <c:ptCount val="1"/>
            <c:pt idx="0">
              <c:v>Top 5 landed species by value in 2019
Area VIIA nephrops under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2363-4187-B9AB-71C432332F87}"/>
              </c:ext>
            </c:extLst>
          </c:dPt>
          <c:dPt>
            <c:idx val="1"/>
            <c:bubble3D val="0"/>
            <c:spPr>
              <a:solidFill>
                <a:srgbClr val="E87308"/>
              </a:solidFill>
              <a:ln>
                <a:solidFill>
                  <a:srgbClr val="FFFFFF"/>
                </a:solidFill>
              </a:ln>
            </c:spPr>
            <c:extLst>
              <c:ext xmlns:c16="http://schemas.microsoft.com/office/drawing/2014/chart" uri="{C3380CC4-5D6E-409C-BE32-E72D297353CC}">
                <c16:uniqueId val="{00000003-2363-4187-B9AB-71C432332F87}"/>
              </c:ext>
            </c:extLst>
          </c:dPt>
          <c:dPt>
            <c:idx val="2"/>
            <c:bubble3D val="0"/>
            <c:spPr>
              <a:solidFill>
                <a:srgbClr val="648C2E"/>
              </a:solidFill>
              <a:ln>
                <a:solidFill>
                  <a:srgbClr val="FFFFFF"/>
                </a:solidFill>
              </a:ln>
            </c:spPr>
            <c:extLst>
              <c:ext xmlns:c16="http://schemas.microsoft.com/office/drawing/2014/chart" uri="{C3380CC4-5D6E-409C-BE32-E72D297353CC}">
                <c16:uniqueId val="{00000005-2363-4187-B9AB-71C432332F87}"/>
              </c:ext>
            </c:extLst>
          </c:dPt>
          <c:dPt>
            <c:idx val="3"/>
            <c:bubble3D val="0"/>
            <c:spPr>
              <a:solidFill>
                <a:srgbClr val="C1D119"/>
              </a:solidFill>
              <a:ln>
                <a:solidFill>
                  <a:srgbClr val="FFFFFF"/>
                </a:solidFill>
              </a:ln>
            </c:spPr>
            <c:extLst>
              <c:ext xmlns:c16="http://schemas.microsoft.com/office/drawing/2014/chart" uri="{C3380CC4-5D6E-409C-BE32-E72D297353CC}">
                <c16:uniqueId val="{00000007-2363-4187-B9AB-71C432332F87}"/>
              </c:ext>
            </c:extLst>
          </c:dPt>
          <c:dPt>
            <c:idx val="4"/>
            <c:bubble3D val="0"/>
            <c:spPr>
              <a:solidFill>
                <a:srgbClr val="E84A38"/>
              </a:solidFill>
              <a:ln>
                <a:solidFill>
                  <a:srgbClr val="FFFFFF"/>
                </a:solidFill>
              </a:ln>
            </c:spPr>
            <c:extLst>
              <c:ext xmlns:c16="http://schemas.microsoft.com/office/drawing/2014/chart" uri="{C3380CC4-5D6E-409C-BE32-E72D297353CC}">
                <c16:uniqueId val="{00000009-2363-4187-B9AB-71C432332F87}"/>
              </c:ext>
            </c:extLst>
          </c:dPt>
          <c:dPt>
            <c:idx val="5"/>
            <c:bubble3D val="0"/>
            <c:spPr>
              <a:solidFill>
                <a:srgbClr val="55585A"/>
              </a:solidFill>
              <a:ln>
                <a:solidFill>
                  <a:srgbClr val="FFFFFF"/>
                </a:solidFill>
              </a:ln>
            </c:spPr>
            <c:extLst>
              <c:ext xmlns:c16="http://schemas.microsoft.com/office/drawing/2014/chart" uri="{C3380CC4-5D6E-409C-BE32-E72D297353CC}">
                <c16:uniqueId val="{0000000B-2363-4187-B9AB-71C432332F87}"/>
              </c:ext>
            </c:extLst>
          </c:dPt>
          <c:cat>
            <c:strRef>
              <c:f>'Area VIIa nephrops u250kW'!$G$77:$G$82</c:f>
              <c:strCache>
                <c:ptCount val="6"/>
                <c:pt idx="0">
                  <c:v>Nephrops - 85.0%</c:v>
                </c:pt>
                <c:pt idx="1">
                  <c:v>Scallops - 7.6%</c:v>
                </c:pt>
                <c:pt idx="2">
                  <c:v>Anglerfish - 1.4%</c:v>
                </c:pt>
                <c:pt idx="3">
                  <c:v>Haddock - 1.1%</c:v>
                </c:pt>
                <c:pt idx="4">
                  <c:v>Brill - 0.6%</c:v>
                </c:pt>
                <c:pt idx="5">
                  <c:v>Others - 4.2%</c:v>
                </c:pt>
              </c:strCache>
            </c:strRef>
          </c:cat>
          <c:val>
            <c:numRef>
              <c:f>'Area VIIa nephrops u250kW'!$H$77:$H$82</c:f>
              <c:numCache>
                <c:formatCode>0.0%</c:formatCode>
                <c:ptCount val="6"/>
                <c:pt idx="0">
                  <c:v>0.85011352937044671</c:v>
                </c:pt>
                <c:pt idx="1">
                  <c:v>7.6051848433357827E-2</c:v>
                </c:pt>
                <c:pt idx="2">
                  <c:v>1.3740227970290583E-2</c:v>
                </c:pt>
                <c:pt idx="3">
                  <c:v>1.1290620686416647E-2</c:v>
                </c:pt>
                <c:pt idx="4">
                  <c:v>6.4757651591502621E-3</c:v>
                </c:pt>
                <c:pt idx="5">
                  <c:v>4.23280083803379E-2</c:v>
                </c:pt>
              </c:numCache>
            </c:numRef>
          </c:val>
          <c:extLst>
            <c:ext xmlns:c16="http://schemas.microsoft.com/office/drawing/2014/chart" uri="{C3380CC4-5D6E-409C-BE32-E72D297353CC}">
              <c16:uniqueId val="{0000000C-2363-4187-B9AB-71C432332F87}"/>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drift-fixed nets'!$F$76</c:f>
          <c:strCache>
            <c:ptCount val="1"/>
            <c:pt idx="0">
              <c:v>Top 5 landed species by value in 2019
Under 10m drift and/or fixed nets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86DF-44CF-BF33-8270FD82BC5C}"/>
              </c:ext>
            </c:extLst>
          </c:dPt>
          <c:dPt>
            <c:idx val="1"/>
            <c:bubble3D val="0"/>
            <c:spPr>
              <a:solidFill>
                <a:srgbClr val="E87308"/>
              </a:solidFill>
              <a:ln>
                <a:solidFill>
                  <a:srgbClr val="FFFFFF"/>
                </a:solidFill>
              </a:ln>
            </c:spPr>
            <c:extLst>
              <c:ext xmlns:c16="http://schemas.microsoft.com/office/drawing/2014/chart" uri="{C3380CC4-5D6E-409C-BE32-E72D297353CC}">
                <c16:uniqueId val="{00000003-86DF-44CF-BF33-8270FD82BC5C}"/>
              </c:ext>
            </c:extLst>
          </c:dPt>
          <c:dPt>
            <c:idx val="2"/>
            <c:bubble3D val="0"/>
            <c:spPr>
              <a:solidFill>
                <a:srgbClr val="648C2E"/>
              </a:solidFill>
              <a:ln>
                <a:solidFill>
                  <a:srgbClr val="FFFFFF"/>
                </a:solidFill>
              </a:ln>
            </c:spPr>
            <c:extLst>
              <c:ext xmlns:c16="http://schemas.microsoft.com/office/drawing/2014/chart" uri="{C3380CC4-5D6E-409C-BE32-E72D297353CC}">
                <c16:uniqueId val="{00000005-86DF-44CF-BF33-8270FD82BC5C}"/>
              </c:ext>
            </c:extLst>
          </c:dPt>
          <c:dPt>
            <c:idx val="3"/>
            <c:bubble3D val="0"/>
            <c:spPr>
              <a:solidFill>
                <a:srgbClr val="C1D119"/>
              </a:solidFill>
              <a:ln>
                <a:solidFill>
                  <a:srgbClr val="FFFFFF"/>
                </a:solidFill>
              </a:ln>
            </c:spPr>
            <c:extLst>
              <c:ext xmlns:c16="http://schemas.microsoft.com/office/drawing/2014/chart" uri="{C3380CC4-5D6E-409C-BE32-E72D297353CC}">
                <c16:uniqueId val="{00000007-86DF-44CF-BF33-8270FD82BC5C}"/>
              </c:ext>
            </c:extLst>
          </c:dPt>
          <c:dPt>
            <c:idx val="4"/>
            <c:bubble3D val="0"/>
            <c:spPr>
              <a:solidFill>
                <a:srgbClr val="E84A38"/>
              </a:solidFill>
              <a:ln>
                <a:solidFill>
                  <a:srgbClr val="FFFFFF"/>
                </a:solidFill>
              </a:ln>
            </c:spPr>
            <c:extLst>
              <c:ext xmlns:c16="http://schemas.microsoft.com/office/drawing/2014/chart" uri="{C3380CC4-5D6E-409C-BE32-E72D297353CC}">
                <c16:uniqueId val="{00000009-86DF-44CF-BF33-8270FD82BC5C}"/>
              </c:ext>
            </c:extLst>
          </c:dPt>
          <c:dPt>
            <c:idx val="5"/>
            <c:bubble3D val="0"/>
            <c:spPr>
              <a:solidFill>
                <a:srgbClr val="55585A"/>
              </a:solidFill>
              <a:ln>
                <a:solidFill>
                  <a:srgbClr val="FFFFFF"/>
                </a:solidFill>
              </a:ln>
            </c:spPr>
            <c:extLst>
              <c:ext xmlns:c16="http://schemas.microsoft.com/office/drawing/2014/chart" uri="{C3380CC4-5D6E-409C-BE32-E72D297353CC}">
                <c16:uniqueId val="{0000000B-86DF-44CF-BF33-8270FD82BC5C}"/>
              </c:ext>
            </c:extLst>
          </c:dPt>
          <c:cat>
            <c:strRef>
              <c:f>'U10m drift-fixed nets'!$G$77:$G$82</c:f>
              <c:strCache>
                <c:ptCount val="6"/>
                <c:pt idx="0">
                  <c:v>Sole - 26.3%</c:v>
                </c:pt>
                <c:pt idx="1">
                  <c:v>Bass - 11.2%</c:v>
                </c:pt>
                <c:pt idx="2">
                  <c:v>Pollack - 9.0%</c:v>
                </c:pt>
                <c:pt idx="3">
                  <c:v>Whelks - 8.4%</c:v>
                </c:pt>
                <c:pt idx="4">
                  <c:v>Turbot - 5.6%</c:v>
                </c:pt>
                <c:pt idx="5">
                  <c:v>Others - 39.5%</c:v>
                </c:pt>
              </c:strCache>
            </c:strRef>
          </c:cat>
          <c:val>
            <c:numRef>
              <c:f>'U10m drift-fixed nets'!$H$77:$H$82</c:f>
              <c:numCache>
                <c:formatCode>0.0%</c:formatCode>
                <c:ptCount val="6"/>
                <c:pt idx="0">
                  <c:v>0.26289218464321717</c:v>
                </c:pt>
                <c:pt idx="1">
                  <c:v>0.11203905038573388</c:v>
                </c:pt>
                <c:pt idx="2">
                  <c:v>8.9872895050295401E-2</c:v>
                </c:pt>
                <c:pt idx="3">
                  <c:v>8.430737278289617E-2</c:v>
                </c:pt>
                <c:pt idx="4">
                  <c:v>5.6341697436568833E-2</c:v>
                </c:pt>
                <c:pt idx="5">
                  <c:v>0.39454679970128859</c:v>
                </c:pt>
              </c:numCache>
            </c:numRef>
          </c:val>
          <c:extLst>
            <c:ext xmlns:c16="http://schemas.microsoft.com/office/drawing/2014/chart" uri="{C3380CC4-5D6E-409C-BE32-E72D297353CC}">
              <c16:uniqueId val="{0000000C-86DF-44CF-BF33-8270FD82BC5C}"/>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drift-fixed nets'!$K$77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'U10m drift-fixed nets'!$C$92</c:f>
              <c:strCache>
                <c:ptCount val="1"/>
                <c:pt idx="0">
                  <c:v>Sole</c:v>
                </c:pt>
              </c:strCache>
            </c:strRef>
          </c:tx>
          <c:spPr>
            <a:solidFill>
              <a:srgbClr val="2273B9"/>
            </a:solidFill>
            <a:ln>
              <a:solidFill>
                <a:srgbClr val="FFFFFF"/>
              </a:solidFill>
            </a:ln>
          </c:spPr>
          <c:invertIfNegative val="0"/>
          <c:cat>
            <c:numRef>
              <c:f>'U10m drift-fixed nets'!$D$91:$M$91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drift-fixed nets'!$D$92:$M$92</c:f>
              <c:numCache>
                <c:formatCode>0%</c:formatCode>
                <c:ptCount val="10"/>
                <c:pt idx="0">
                  <c:v>0.333488165637011</c:v>
                </c:pt>
                <c:pt idx="1">
                  <c:v>0.28844311654746618</c:v>
                </c:pt>
                <c:pt idx="2">
                  <c:v>0.26850338874963342</c:v>
                </c:pt>
                <c:pt idx="3">
                  <c:v>0.24134412512114328</c:v>
                </c:pt>
                <c:pt idx="4">
                  <c:v>0.29624209935649259</c:v>
                </c:pt>
                <c:pt idx="5">
                  <c:v>0.22869990368048759</c:v>
                </c:pt>
                <c:pt idx="6">
                  <c:v>0.26757187898674284</c:v>
                </c:pt>
                <c:pt idx="7">
                  <c:v>0.30225684874310094</c:v>
                </c:pt>
                <c:pt idx="8">
                  <c:v>0.26289218464321717</c:v>
                </c:pt>
                <c:pt idx="9">
                  <c:v>0.24197325716531143</c:v>
                </c:pt>
              </c:numCache>
            </c:numRef>
          </c:val>
          <c:extLst>
            <c:ext xmlns:c16="http://schemas.microsoft.com/office/drawing/2014/chart" uri="{C3380CC4-5D6E-409C-BE32-E72D297353CC}">
              <c16:uniqueId val="{00000000-CAAD-4A7C-964F-0182B183FA16}"/>
            </c:ext>
          </c:extLst>
        </c:ser>
        <c:ser>
          <c:idx val="1"/>
          <c:order val="1"/>
          <c:tx>
            <c:strRef>
              <c:f>'U10m drift-fixed nets'!$C$93</c:f>
              <c:strCache>
                <c:ptCount val="1"/>
                <c:pt idx="0">
                  <c:v>Bass</c:v>
                </c:pt>
              </c:strCache>
            </c:strRef>
          </c:tx>
          <c:spPr>
            <a:solidFill>
              <a:srgbClr val="E87308"/>
            </a:solidFill>
            <a:ln>
              <a:solidFill>
                <a:srgbClr val="FFFFFF"/>
              </a:solidFill>
            </a:ln>
          </c:spPr>
          <c:invertIfNegative val="0"/>
          <c:cat>
            <c:numRef>
              <c:f>'U10m drift-fixed nets'!$D$91:$M$91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drift-fixed nets'!$D$93:$M$93</c:f>
              <c:numCache>
                <c:formatCode>0%</c:formatCode>
                <c:ptCount val="10"/>
                <c:pt idx="0">
                  <c:v>0.14052572578372691</c:v>
                </c:pt>
                <c:pt idx="1">
                  <c:v>0.16669526928914136</c:v>
                </c:pt>
                <c:pt idx="2">
                  <c:v>0.18301357471573879</c:v>
                </c:pt>
                <c:pt idx="3">
                  <c:v>0.28009911143223593</c:v>
                </c:pt>
                <c:pt idx="4">
                  <c:v>0.20195406641419714</c:v>
                </c:pt>
                <c:pt idx="5">
                  <c:v>0.14850336834647795</c:v>
                </c:pt>
                <c:pt idx="6">
                  <c:v>7.3095020309584188E-2</c:v>
                </c:pt>
                <c:pt idx="7">
                  <c:v>9.941342908968516E-2</c:v>
                </c:pt>
                <c:pt idx="8">
                  <c:v>0.11203905038573388</c:v>
                </c:pt>
                <c:pt idx="9">
                  <c:v>0.12774719098153925</c:v>
                </c:pt>
              </c:numCache>
            </c:numRef>
          </c:val>
          <c:extLst>
            <c:ext xmlns:c16="http://schemas.microsoft.com/office/drawing/2014/chart" uri="{C3380CC4-5D6E-409C-BE32-E72D297353CC}">
              <c16:uniqueId val="{00000001-CAAD-4A7C-964F-0182B183FA16}"/>
            </c:ext>
          </c:extLst>
        </c:ser>
        <c:ser>
          <c:idx val="2"/>
          <c:order val="2"/>
          <c:tx>
            <c:strRef>
              <c:f>'U10m drift-fixed nets'!$C$94</c:f>
              <c:strCache>
                <c:ptCount val="1"/>
                <c:pt idx="0">
                  <c:v>Pollack</c:v>
                </c:pt>
              </c:strCache>
            </c:strRef>
          </c:tx>
          <c:spPr>
            <a:solidFill>
              <a:srgbClr val="648C2E"/>
            </a:solidFill>
            <a:ln>
              <a:solidFill>
                <a:srgbClr val="FFFFFF"/>
              </a:solidFill>
            </a:ln>
          </c:spPr>
          <c:invertIfNegative val="0"/>
          <c:cat>
            <c:numRef>
              <c:f>'U10m drift-fixed nets'!$D$91:$M$91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drift-fixed nets'!$D$94:$M$94</c:f>
              <c:numCache>
                <c:formatCode>0%</c:formatCode>
                <c:ptCount val="10"/>
                <c:pt idx="0">
                  <c:v>5.1078154505778628E-2</c:v>
                </c:pt>
                <c:pt idx="1">
                  <c:v>7.766084010705733E-2</c:v>
                </c:pt>
                <c:pt idx="2">
                  <c:v>6.272873528434432E-2</c:v>
                </c:pt>
                <c:pt idx="3">
                  <c:v>5.4047954552092971E-2</c:v>
                </c:pt>
                <c:pt idx="4">
                  <c:v>5.0494417076834365E-2</c:v>
                </c:pt>
                <c:pt idx="5">
                  <c:v>8.4716108082951505E-2</c:v>
                </c:pt>
                <c:pt idx="6">
                  <c:v>0.11236286836418859</c:v>
                </c:pt>
                <c:pt idx="7">
                  <c:v>9.4034473704803417E-2</c:v>
                </c:pt>
                <c:pt idx="8">
                  <c:v>8.9872895050295401E-2</c:v>
                </c:pt>
                <c:pt idx="9">
                  <c:v>9.5037245113749863E-2</c:v>
                </c:pt>
              </c:numCache>
            </c:numRef>
          </c:val>
          <c:extLst>
            <c:ext xmlns:c16="http://schemas.microsoft.com/office/drawing/2014/chart" uri="{C3380CC4-5D6E-409C-BE32-E72D297353CC}">
              <c16:uniqueId val="{00000002-CAAD-4A7C-964F-0182B183FA16}"/>
            </c:ext>
          </c:extLst>
        </c:ser>
        <c:ser>
          <c:idx val="3"/>
          <c:order val="3"/>
          <c:tx>
            <c:strRef>
              <c:f>'U10m drift-fixed nets'!$C$95</c:f>
              <c:strCache>
                <c:ptCount val="1"/>
                <c:pt idx="0">
                  <c:v>Whelks</c:v>
                </c:pt>
              </c:strCache>
            </c:strRef>
          </c:tx>
          <c:spPr>
            <a:solidFill>
              <a:srgbClr val="C1D119"/>
            </a:solidFill>
            <a:ln>
              <a:solidFill>
                <a:srgbClr val="FFFFFF"/>
              </a:solidFill>
            </a:ln>
          </c:spPr>
          <c:invertIfNegative val="0"/>
          <c:cat>
            <c:numRef>
              <c:f>'U10m drift-fixed nets'!$D$91:$M$91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drift-fixed nets'!$D$95:$M$95</c:f>
              <c:numCache>
                <c:formatCode>0%</c:formatCode>
                <c:ptCount val="10"/>
                <c:pt idx="3">
                  <c:v>4.2213317283214077E-2</c:v>
                </c:pt>
                <c:pt idx="4">
                  <c:v>5.4279128604824686E-2</c:v>
                </c:pt>
                <c:pt idx="5">
                  <c:v>5.5060288607253018E-2</c:v>
                </c:pt>
                <c:pt idx="6">
                  <c:v>7.0223876179935099E-2</c:v>
                </c:pt>
                <c:pt idx="7">
                  <c:v>7.7119471138370768E-2</c:v>
                </c:pt>
                <c:pt idx="8">
                  <c:v>8.430737278289617E-2</c:v>
                </c:pt>
                <c:pt idx="9">
                  <c:v>8.3547691477772343E-2</c:v>
                </c:pt>
              </c:numCache>
            </c:numRef>
          </c:val>
          <c:extLst>
            <c:ext xmlns:c16="http://schemas.microsoft.com/office/drawing/2014/chart" uri="{C3380CC4-5D6E-409C-BE32-E72D297353CC}">
              <c16:uniqueId val="{00000003-CAAD-4A7C-964F-0182B183FA16}"/>
            </c:ext>
          </c:extLst>
        </c:ser>
        <c:ser>
          <c:idx val="4"/>
          <c:order val="4"/>
          <c:tx>
            <c:strRef>
              <c:f>'U10m drift-fixed nets'!$C$96</c:f>
              <c:strCache>
                <c:ptCount val="1"/>
                <c:pt idx="0">
                  <c:v>Turbot</c:v>
                </c:pt>
              </c:strCache>
            </c:strRef>
          </c:tx>
          <c:spPr>
            <a:solidFill>
              <a:srgbClr val="E84A38"/>
            </a:solidFill>
            <a:ln>
              <a:solidFill>
                <a:srgbClr val="FFFFFF"/>
              </a:solidFill>
            </a:ln>
          </c:spPr>
          <c:invertIfNegative val="0"/>
          <c:cat>
            <c:numRef>
              <c:f>'U10m drift-fixed nets'!$D$91:$M$91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drift-fixed nets'!$D$96:$M$96</c:f>
              <c:numCache>
                <c:formatCode>0%</c:formatCode>
                <c:ptCount val="10"/>
                <c:pt idx="6">
                  <c:v>7.0051119766595227E-2</c:v>
                </c:pt>
                <c:pt idx="7">
                  <c:v>4.7775114974244359E-2</c:v>
                </c:pt>
                <c:pt idx="8">
                  <c:v>5.6341697436568833E-2</c:v>
                </c:pt>
              </c:numCache>
            </c:numRef>
          </c:val>
          <c:extLst>
            <c:ext xmlns:c16="http://schemas.microsoft.com/office/drawing/2014/chart" uri="{C3380CC4-5D6E-409C-BE32-E72D297353CC}">
              <c16:uniqueId val="{00000004-CAAD-4A7C-964F-0182B183FA16}"/>
            </c:ext>
          </c:extLst>
        </c:ser>
        <c:ser>
          <c:idx val="5"/>
          <c:order val="5"/>
          <c:tx>
            <c:strRef>
              <c:f>'U10m drift-fixed nets'!$C$97</c:f>
              <c:strCache>
                <c:ptCount val="1"/>
                <c:pt idx="0">
                  <c:v>Cockles</c:v>
                </c:pt>
              </c:strCache>
            </c:strRef>
          </c:tx>
          <c:spPr>
            <a:solidFill>
              <a:srgbClr val="0F9AA9"/>
            </a:solidFill>
            <a:ln>
              <a:solidFill>
                <a:srgbClr val="FFFFFF"/>
              </a:solidFill>
            </a:ln>
          </c:spPr>
          <c:invertIfNegative val="0"/>
          <c:cat>
            <c:numRef>
              <c:f>'U10m drift-fixed nets'!$D$91:$M$91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drift-fixed nets'!$D$97:$M$97</c:f>
              <c:numCache>
                <c:formatCode>0%</c:formatCode>
                <c:ptCount val="10"/>
                <c:pt idx="9">
                  <c:v>5.7723554778168325E-2</c:v>
                </c:pt>
              </c:numCache>
            </c:numRef>
          </c:val>
          <c:extLst>
            <c:ext xmlns:c16="http://schemas.microsoft.com/office/drawing/2014/chart" uri="{C3380CC4-5D6E-409C-BE32-E72D297353CC}">
              <c16:uniqueId val="{00000005-CAAD-4A7C-964F-0182B183FA16}"/>
            </c:ext>
          </c:extLst>
        </c:ser>
        <c:ser>
          <c:idx val="6"/>
          <c:order val="6"/>
          <c:tx>
            <c:strRef>
              <c:f>'U10m drift-fixed nets'!$C$98</c:f>
              <c:strCache>
                <c:ptCount val="1"/>
                <c:pt idx="0">
                  <c:v>Anglerfish</c:v>
                </c:pt>
              </c:strCache>
            </c:strRef>
          </c:tx>
          <c:spPr>
            <a:solidFill>
              <a:srgbClr val="FED825"/>
            </a:solidFill>
            <a:ln>
              <a:solidFill>
                <a:srgbClr val="FFFFFF"/>
              </a:solidFill>
            </a:ln>
          </c:spPr>
          <c:invertIfNegative val="0"/>
          <c:cat>
            <c:numRef>
              <c:f>'U10m drift-fixed nets'!$D$91:$M$91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drift-fixed nets'!$D$98:$M$98</c:f>
              <c:numCache>
                <c:formatCode>0%</c:formatCode>
                <c:ptCount val="10"/>
                <c:pt idx="1">
                  <c:v>5.3052624121157708E-2</c:v>
                </c:pt>
                <c:pt idx="2">
                  <c:v>5.4930937106562022E-2</c:v>
                </c:pt>
                <c:pt idx="5">
                  <c:v>6.0500625547722453E-2</c:v>
                </c:pt>
              </c:numCache>
            </c:numRef>
          </c:val>
          <c:extLst>
            <c:ext xmlns:c16="http://schemas.microsoft.com/office/drawing/2014/chart" uri="{C3380CC4-5D6E-409C-BE32-E72D297353CC}">
              <c16:uniqueId val="{00000006-CAAD-4A7C-964F-0182B183FA16}"/>
            </c:ext>
          </c:extLst>
        </c:ser>
        <c:ser>
          <c:idx val="7"/>
          <c:order val="7"/>
          <c:tx>
            <c:strRef>
              <c:f>'U10m drift-fixed nets'!$C$99</c:f>
              <c:strCache>
                <c:ptCount val="1"/>
                <c:pt idx="0">
                  <c:v>Cod</c:v>
                </c:pt>
              </c:strCache>
            </c:strRef>
          </c:tx>
          <c:spPr>
            <a:solidFill>
              <a:srgbClr val="707271"/>
            </a:solidFill>
            <a:ln>
              <a:solidFill>
                <a:srgbClr val="FFFFFF"/>
              </a:solidFill>
            </a:ln>
          </c:spPr>
          <c:invertIfNegative val="0"/>
          <c:cat>
            <c:numRef>
              <c:f>'U10m drift-fixed nets'!$D$91:$M$91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drift-fixed nets'!$D$99:$M$99</c:f>
              <c:numCache>
                <c:formatCode>0%</c:formatCode>
                <c:ptCount val="10"/>
                <c:pt idx="0">
                  <c:v>3.8522908378339035E-2</c:v>
                </c:pt>
                <c:pt idx="1">
                  <c:v>4.1215956840084937E-2</c:v>
                </c:pt>
                <c:pt idx="4">
                  <c:v>4.8004724102963497E-2</c:v>
                </c:pt>
              </c:numCache>
            </c:numRef>
          </c:val>
          <c:extLst>
            <c:ext xmlns:c16="http://schemas.microsoft.com/office/drawing/2014/chart" uri="{C3380CC4-5D6E-409C-BE32-E72D297353CC}">
              <c16:uniqueId val="{00000007-CAAD-4A7C-964F-0182B183FA16}"/>
            </c:ext>
          </c:extLst>
        </c:ser>
        <c:ser>
          <c:idx val="8"/>
          <c:order val="8"/>
          <c:tx>
            <c:strRef>
              <c:f>'U10m drift-fixed nets'!$C$100</c:f>
              <c:strCache>
                <c:ptCount val="1"/>
                <c:pt idx="0">
                  <c:v>Lobsters</c:v>
                </c:pt>
              </c:strCache>
            </c:strRef>
          </c:tx>
          <c:spPr>
            <a:solidFill>
              <a:srgbClr val="51AA81"/>
            </a:solidFill>
            <a:ln>
              <a:solidFill>
                <a:srgbClr val="FFFFFF"/>
              </a:solidFill>
            </a:ln>
          </c:spPr>
          <c:invertIfNegative val="0"/>
          <c:cat>
            <c:numRef>
              <c:f>'U10m drift-fixed nets'!$D$91:$M$91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drift-fixed nets'!$D$100:$M$100</c:f>
              <c:numCache>
                <c:formatCode>0%</c:formatCode>
                <c:ptCount val="10"/>
                <c:pt idx="3">
                  <c:v>3.7629696669099592E-2</c:v>
                </c:pt>
              </c:numCache>
            </c:numRef>
          </c:val>
          <c:extLst>
            <c:ext xmlns:c16="http://schemas.microsoft.com/office/drawing/2014/chart" uri="{C3380CC4-5D6E-409C-BE32-E72D297353CC}">
              <c16:uniqueId val="{00000008-CAAD-4A7C-964F-0182B183FA16}"/>
            </c:ext>
          </c:extLst>
        </c:ser>
        <c:ser>
          <c:idx val="9"/>
          <c:order val="9"/>
          <c:tx>
            <c:strRef>
              <c:f>'U10m drift-fixed nets'!$C$101</c:f>
              <c:strCache>
                <c:ptCount val="1"/>
                <c:pt idx="0">
                  <c:v>Brown Crab</c:v>
                </c:pt>
              </c:strCache>
            </c:strRef>
          </c:tx>
          <c:spPr>
            <a:solidFill>
              <a:srgbClr val="169FDB"/>
            </a:solidFill>
            <a:ln>
              <a:solidFill>
                <a:srgbClr val="FFFFFF"/>
              </a:solidFill>
            </a:ln>
          </c:spPr>
          <c:invertIfNegative val="0"/>
          <c:cat>
            <c:numRef>
              <c:f>'U10m drift-fixed nets'!$D$91:$M$91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drift-fixed nets'!$D$101:$M$101</c:f>
              <c:numCache>
                <c:formatCode>0%</c:formatCode>
                <c:ptCount val="10"/>
                <c:pt idx="2">
                  <c:v>4.4650226931498373E-2</c:v>
                </c:pt>
              </c:numCache>
            </c:numRef>
          </c:val>
          <c:extLst>
            <c:ext xmlns:c16="http://schemas.microsoft.com/office/drawing/2014/chart" uri="{C3380CC4-5D6E-409C-BE32-E72D297353CC}">
              <c16:uniqueId val="{00000009-CAAD-4A7C-964F-0182B183FA16}"/>
            </c:ext>
          </c:extLst>
        </c:ser>
        <c:ser>
          <c:idx val="10"/>
          <c:order val="10"/>
          <c:tx>
            <c:strRef>
              <c:f>'U10m drift-fixed nets'!$C$102</c:f>
              <c:strCache>
                <c:ptCount val="1"/>
                <c:pt idx="0">
                  <c:v>Cuttlefish</c:v>
                </c:pt>
              </c:strCache>
            </c:strRef>
          </c:tx>
          <c:spPr>
            <a:solidFill>
              <a:srgbClr val="E40D2C"/>
            </a:solidFill>
            <a:ln>
              <a:solidFill>
                <a:srgbClr val="FFFFFF"/>
              </a:solidFill>
            </a:ln>
          </c:spPr>
          <c:invertIfNegative val="0"/>
          <c:cat>
            <c:numRef>
              <c:f>'U10m drift-fixed nets'!$D$91:$M$91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drift-fixed nets'!$D$102:$M$102</c:f>
              <c:numCache>
                <c:formatCode>0%</c:formatCode>
                <c:ptCount val="10"/>
                <c:pt idx="0">
                  <c:v>4.1620514328707225E-2</c:v>
                </c:pt>
              </c:numCache>
            </c:numRef>
          </c:val>
          <c:extLst>
            <c:ext xmlns:c16="http://schemas.microsoft.com/office/drawing/2014/chart" uri="{C3380CC4-5D6E-409C-BE32-E72D297353CC}">
              <c16:uniqueId val="{0000000A-CAAD-4A7C-964F-0182B183FA16}"/>
            </c:ext>
          </c:extLst>
        </c:ser>
        <c:ser>
          <c:idx val="11"/>
          <c:order val="11"/>
          <c:tx>
            <c:strRef>
              <c:f>'U10m drift-fixed nets'!$C$103</c:f>
              <c:strCache>
                <c:ptCount val="1"/>
                <c:pt idx="0">
                  <c:v>Others</c:v>
                </c:pt>
              </c:strCache>
            </c:strRef>
          </c:tx>
          <c:spPr>
            <a:solidFill>
              <a:srgbClr val="55585A"/>
            </a:solidFill>
            <a:ln>
              <a:solidFill>
                <a:srgbClr val="FFFFFF"/>
              </a:solidFill>
            </a:ln>
          </c:spPr>
          <c:invertIfNegative val="0"/>
          <c:cat>
            <c:numRef>
              <c:f>'U10m drift-fixed nets'!$D$91:$M$91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drift-fixed nets'!$D$103:$M$103</c:f>
              <c:numCache>
                <c:formatCode>0%</c:formatCode>
                <c:ptCount val="10"/>
                <c:pt idx="0">
                  <c:v>0.39476453136643724</c:v>
                </c:pt>
                <c:pt idx="1">
                  <c:v>0.37293219309509251</c:v>
                </c:pt>
                <c:pt idx="2">
                  <c:v>0.38617313721222302</c:v>
                </c:pt>
                <c:pt idx="3">
                  <c:v>0.34466579494221417</c:v>
                </c:pt>
                <c:pt idx="4">
                  <c:v>0.34902556444468774</c:v>
                </c:pt>
                <c:pt idx="5">
                  <c:v>0.4225197057351075</c:v>
                </c:pt>
                <c:pt idx="6">
                  <c:v>0.40669523639295402</c:v>
                </c:pt>
                <c:pt idx="7">
                  <c:v>0.37940066234979536</c:v>
                </c:pt>
                <c:pt idx="8">
                  <c:v>0.39454679970128859</c:v>
                </c:pt>
                <c:pt idx="9">
                  <c:v>0.39397106048345881</c:v>
                </c:pt>
              </c:numCache>
            </c:numRef>
          </c:val>
          <c:extLst>
            <c:ext xmlns:c16="http://schemas.microsoft.com/office/drawing/2014/chart" uri="{C3380CC4-5D6E-409C-BE32-E72D297353CC}">
              <c16:uniqueId val="{0000000B-CAAD-4A7C-964F-0182B183FA16}"/>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'U10m drift-fixed nets'!$B$162</c:f>
              <c:strCache>
                <c:ptCount val="1"/>
                <c:pt idx="0">
                  <c:v>Whelks</c:v>
                </c:pt>
              </c:strCache>
            </c:strRef>
          </c:tx>
          <c:spPr>
            <a:solidFill>
              <a:srgbClr val="C1D119"/>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nets'!$C$162:$E$162</c:f>
              <c:numCache>
                <c:formatCode>0%</c:formatCode>
                <c:ptCount val="3"/>
                <c:pt idx="0">
                  <c:v>5.4237614167478909E-2</c:v>
                </c:pt>
                <c:pt idx="1">
                  <c:v>0.37621102523594546</c:v>
                </c:pt>
                <c:pt idx="2">
                  <c:v>0.13830902183134139</c:v>
                </c:pt>
              </c:numCache>
            </c:numRef>
          </c:val>
          <c:extLst>
            <c:ext xmlns:c16="http://schemas.microsoft.com/office/drawing/2014/chart" uri="{C3380CC4-5D6E-409C-BE32-E72D297353CC}">
              <c16:uniqueId val="{00000000-76E4-421E-A829-C7D2025648EA}"/>
            </c:ext>
          </c:extLst>
        </c:ser>
        <c:ser>
          <c:idx val="1"/>
          <c:order val="1"/>
          <c:tx>
            <c:strRef>
              <c:f>'U10m drift-fixed nets'!$B$163</c:f>
              <c:strCache>
                <c:ptCount val="1"/>
                <c:pt idx="0">
                  <c:v>Plaice</c:v>
                </c:pt>
              </c:strCache>
            </c:strRef>
          </c:tx>
          <c:spPr>
            <a:solidFill>
              <a:srgbClr val="FED825"/>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nets'!$C$163:$E$163</c:f>
              <c:numCache>
                <c:formatCode>0%</c:formatCode>
                <c:ptCount val="3"/>
                <c:pt idx="0">
                  <c:v>0</c:v>
                </c:pt>
                <c:pt idx="1">
                  <c:v>0.11913443907457509</c:v>
                </c:pt>
                <c:pt idx="2">
                  <c:v>0.11226504579742523</c:v>
                </c:pt>
              </c:numCache>
            </c:numRef>
          </c:val>
          <c:extLst>
            <c:ext xmlns:c16="http://schemas.microsoft.com/office/drawing/2014/chart" uri="{C3380CC4-5D6E-409C-BE32-E72D297353CC}">
              <c16:uniqueId val="{00000001-76E4-421E-A829-C7D2025648EA}"/>
            </c:ext>
          </c:extLst>
        </c:ser>
        <c:ser>
          <c:idx val="2"/>
          <c:order val="2"/>
          <c:tx>
            <c:strRef>
              <c:f>'U10m drift-fixed nets'!$B$164</c:f>
              <c:strCache>
                <c:ptCount val="1"/>
                <c:pt idx="0">
                  <c:v>Thornback Ray</c:v>
                </c:pt>
              </c:strCache>
            </c:strRef>
          </c:tx>
          <c:spPr>
            <a:solidFill>
              <a:srgbClr val="707271"/>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nets'!$C$164:$E$164</c:f>
              <c:numCache>
                <c:formatCode>0%</c:formatCode>
                <c:ptCount val="3"/>
                <c:pt idx="0">
                  <c:v>0</c:v>
                </c:pt>
                <c:pt idx="1">
                  <c:v>8.7802943181582452E-2</c:v>
                </c:pt>
                <c:pt idx="2">
                  <c:v>0.15262921669861845</c:v>
                </c:pt>
              </c:numCache>
            </c:numRef>
          </c:val>
          <c:extLst>
            <c:ext xmlns:c16="http://schemas.microsoft.com/office/drawing/2014/chart" uri="{C3380CC4-5D6E-409C-BE32-E72D297353CC}">
              <c16:uniqueId val="{00000002-76E4-421E-A829-C7D2025648EA}"/>
            </c:ext>
          </c:extLst>
        </c:ser>
        <c:ser>
          <c:idx val="3"/>
          <c:order val="3"/>
          <c:tx>
            <c:strRef>
              <c:f>'U10m drift-fixed nets'!$B$165</c:f>
              <c:strCache>
                <c:ptCount val="1"/>
                <c:pt idx="0">
                  <c:v>Pollack</c:v>
                </c:pt>
              </c:strCache>
            </c:strRef>
          </c:tx>
          <c:spPr>
            <a:solidFill>
              <a:srgbClr val="648C2E"/>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nets'!$C$165:$E$165</c:f>
              <c:numCache>
                <c:formatCode>0%</c:formatCode>
                <c:ptCount val="3"/>
                <c:pt idx="0">
                  <c:v>0.17670384411982104</c:v>
                </c:pt>
                <c:pt idx="1">
                  <c:v>8.2916808908496939E-2</c:v>
                </c:pt>
                <c:pt idx="2">
                  <c:v>0</c:v>
                </c:pt>
              </c:numCache>
            </c:numRef>
          </c:val>
          <c:extLst>
            <c:ext xmlns:c16="http://schemas.microsoft.com/office/drawing/2014/chart" uri="{C3380CC4-5D6E-409C-BE32-E72D297353CC}">
              <c16:uniqueId val="{00000003-76E4-421E-A829-C7D2025648EA}"/>
            </c:ext>
          </c:extLst>
        </c:ser>
        <c:ser>
          <c:idx val="4"/>
          <c:order val="4"/>
          <c:tx>
            <c:strRef>
              <c:f>'U10m drift-fixed nets'!$B$166</c:f>
              <c:strCache>
                <c:ptCount val="1"/>
                <c:pt idx="0">
                  <c:v>Sole</c:v>
                </c:pt>
              </c:strCache>
            </c:strRef>
          </c:tx>
          <c:spPr>
            <a:solidFill>
              <a:srgbClr val="2273B9"/>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nets'!$C$166:$E$166</c:f>
              <c:numCache>
                <c:formatCode>0%</c:formatCode>
                <c:ptCount val="3"/>
                <c:pt idx="0">
                  <c:v>6.2099058233966643E-2</c:v>
                </c:pt>
                <c:pt idx="1">
                  <c:v>7.4827982518903144E-2</c:v>
                </c:pt>
                <c:pt idx="2">
                  <c:v>0.11088704541189295</c:v>
                </c:pt>
              </c:numCache>
            </c:numRef>
          </c:val>
          <c:extLst>
            <c:ext xmlns:c16="http://schemas.microsoft.com/office/drawing/2014/chart" uri="{C3380CC4-5D6E-409C-BE32-E72D297353CC}">
              <c16:uniqueId val="{00000004-76E4-421E-A829-C7D2025648EA}"/>
            </c:ext>
          </c:extLst>
        </c:ser>
        <c:ser>
          <c:idx val="5"/>
          <c:order val="5"/>
          <c:tx>
            <c:strRef>
              <c:f>'U10m drift-fixed nets'!$B$167</c:f>
              <c:strCache>
                <c:ptCount val="1"/>
                <c:pt idx="0">
                  <c:v>Smoothhound</c:v>
                </c:pt>
              </c:strCache>
            </c:strRef>
          </c:tx>
          <c:spPr>
            <a:solidFill>
              <a:srgbClr val="51AA81"/>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nets'!$C$167:$E$167</c:f>
              <c:numCache>
                <c:formatCode>0%</c:formatCode>
                <c:ptCount val="3"/>
                <c:pt idx="0">
                  <c:v>0</c:v>
                </c:pt>
                <c:pt idx="1">
                  <c:v>0</c:v>
                </c:pt>
                <c:pt idx="2">
                  <c:v>5.8940191576059099E-2</c:v>
                </c:pt>
              </c:numCache>
            </c:numRef>
          </c:val>
          <c:extLst>
            <c:ext xmlns:c16="http://schemas.microsoft.com/office/drawing/2014/chart" uri="{C3380CC4-5D6E-409C-BE32-E72D297353CC}">
              <c16:uniqueId val="{00000005-76E4-421E-A829-C7D2025648EA}"/>
            </c:ext>
          </c:extLst>
        </c:ser>
        <c:ser>
          <c:idx val="6"/>
          <c:order val="6"/>
          <c:tx>
            <c:strRef>
              <c:f>'U10m drift-fixed nets'!$B$168</c:f>
              <c:strCache>
                <c:ptCount val="1"/>
                <c:pt idx="0">
                  <c:v>Pilchards</c:v>
                </c:pt>
              </c:strCache>
            </c:strRef>
          </c:tx>
          <c:spPr>
            <a:solidFill>
              <a:srgbClr val="0F9AA9"/>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nets'!$C$168:$E$168</c:f>
              <c:numCache>
                <c:formatCode>0%</c:formatCode>
                <c:ptCount val="3"/>
                <c:pt idx="0">
                  <c:v>0.2094162337658696</c:v>
                </c:pt>
                <c:pt idx="1">
                  <c:v>0</c:v>
                </c:pt>
                <c:pt idx="2">
                  <c:v>0</c:v>
                </c:pt>
              </c:numCache>
            </c:numRef>
          </c:val>
          <c:extLst>
            <c:ext xmlns:c16="http://schemas.microsoft.com/office/drawing/2014/chart" uri="{C3380CC4-5D6E-409C-BE32-E72D297353CC}">
              <c16:uniqueId val="{00000006-76E4-421E-A829-C7D2025648EA}"/>
            </c:ext>
          </c:extLst>
        </c:ser>
        <c:ser>
          <c:idx val="7"/>
          <c:order val="7"/>
          <c:tx>
            <c:strRef>
              <c:f>'U10m drift-fixed nets'!$B$169</c:f>
              <c:strCache>
                <c:ptCount val="1"/>
                <c:pt idx="0">
                  <c:v>Brown Crab</c:v>
                </c:pt>
              </c:strCache>
            </c:strRef>
          </c:tx>
          <c:spPr>
            <a:solidFill>
              <a:srgbClr val="169FDB"/>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nets'!$C$169:$E$169</c:f>
              <c:numCache>
                <c:formatCode>0%</c:formatCode>
                <c:ptCount val="3"/>
                <c:pt idx="0">
                  <c:v>8.8040889987583609E-2</c:v>
                </c:pt>
                <c:pt idx="1">
                  <c:v>0</c:v>
                </c:pt>
                <c:pt idx="2">
                  <c:v>0</c:v>
                </c:pt>
              </c:numCache>
            </c:numRef>
          </c:val>
          <c:extLst>
            <c:ext xmlns:c16="http://schemas.microsoft.com/office/drawing/2014/chart" uri="{C3380CC4-5D6E-409C-BE32-E72D297353CC}">
              <c16:uniqueId val="{00000007-76E4-421E-A829-C7D2025648EA}"/>
            </c:ext>
          </c:extLst>
        </c:ser>
        <c:ser>
          <c:idx val="8"/>
          <c:order val="8"/>
          <c:tx>
            <c:strRef>
              <c:f>'U10m drift-fixed nets'!$B$170</c:f>
              <c:strCache>
                <c:ptCount val="1"/>
                <c:pt idx="0">
                  <c:v>Others</c:v>
                </c:pt>
              </c:strCache>
            </c:strRef>
          </c:tx>
          <c:spPr>
            <a:solidFill>
              <a:srgbClr val="55585A"/>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nets'!$C$170:$E$170</c:f>
              <c:numCache>
                <c:formatCode>0%</c:formatCode>
                <c:ptCount val="3"/>
                <c:pt idx="0">
                  <c:v>0.40950235972528026</c:v>
                </c:pt>
                <c:pt idx="1">
                  <c:v>0.25910680108049688</c:v>
                </c:pt>
                <c:pt idx="2">
                  <c:v>0.42696947868466284</c:v>
                </c:pt>
              </c:numCache>
            </c:numRef>
          </c:val>
          <c:extLst>
            <c:ext xmlns:c16="http://schemas.microsoft.com/office/drawing/2014/chart" uri="{C3380CC4-5D6E-409C-BE32-E72D297353CC}">
              <c16:uniqueId val="{00000008-76E4-421E-A829-C7D2025648EA}"/>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'U10m drift-fixed nets'!$H$162</c:f>
              <c:strCache>
                <c:ptCount val="1"/>
                <c:pt idx="0">
                  <c:v>Sole</c:v>
                </c:pt>
              </c:strCache>
            </c:strRef>
          </c:tx>
          <c:spPr>
            <a:solidFill>
              <a:srgbClr val="2273B9"/>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nets'!$I$162:$K$162</c:f>
              <c:numCache>
                <c:formatCode>0%</c:formatCode>
                <c:ptCount val="3"/>
                <c:pt idx="0">
                  <c:v>0.25644326760586528</c:v>
                </c:pt>
                <c:pt idx="1">
                  <c:v>0.29230943439816032</c:v>
                </c:pt>
                <c:pt idx="2">
                  <c:v>0.33562841192507498</c:v>
                </c:pt>
              </c:numCache>
            </c:numRef>
          </c:val>
          <c:extLst>
            <c:ext xmlns:c16="http://schemas.microsoft.com/office/drawing/2014/chart" uri="{C3380CC4-5D6E-409C-BE32-E72D297353CC}">
              <c16:uniqueId val="{00000000-D126-4433-A8FA-288F50D207CF}"/>
            </c:ext>
          </c:extLst>
        </c:ser>
        <c:ser>
          <c:idx val="1"/>
          <c:order val="1"/>
          <c:tx>
            <c:strRef>
              <c:f>'U10m drift-fixed nets'!$H$163</c:f>
              <c:strCache>
                <c:ptCount val="1"/>
                <c:pt idx="0">
                  <c:v>Whelks</c:v>
                </c:pt>
              </c:strCache>
            </c:strRef>
          </c:tx>
          <c:spPr>
            <a:solidFill>
              <a:srgbClr val="C1D119"/>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nets'!$I$163:$K$163</c:f>
              <c:numCache>
                <c:formatCode>0%</c:formatCode>
                <c:ptCount val="3"/>
                <c:pt idx="0">
                  <c:v>0</c:v>
                </c:pt>
                <c:pt idx="1">
                  <c:v>0.17834070982072978</c:v>
                </c:pt>
                <c:pt idx="2">
                  <c:v>6.9006099604084256E-2</c:v>
                </c:pt>
              </c:numCache>
            </c:numRef>
          </c:val>
          <c:extLst>
            <c:ext xmlns:c16="http://schemas.microsoft.com/office/drawing/2014/chart" uri="{C3380CC4-5D6E-409C-BE32-E72D297353CC}">
              <c16:uniqueId val="{00000001-D126-4433-A8FA-288F50D207CF}"/>
            </c:ext>
          </c:extLst>
        </c:ser>
        <c:ser>
          <c:idx val="2"/>
          <c:order val="2"/>
          <c:tx>
            <c:strRef>
              <c:f>'U10m drift-fixed nets'!$H$164</c:f>
              <c:strCache>
                <c:ptCount val="1"/>
                <c:pt idx="0">
                  <c:v>Bass</c:v>
                </c:pt>
              </c:strCache>
            </c:strRef>
          </c:tx>
          <c:spPr>
            <a:solidFill>
              <a:srgbClr val="E87308"/>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nets'!$I$164:$K$164</c:f>
              <c:numCache>
                <c:formatCode>0%</c:formatCode>
                <c:ptCount val="3"/>
                <c:pt idx="0">
                  <c:v>0.128623998493582</c:v>
                </c:pt>
                <c:pt idx="1">
                  <c:v>0.11811812739736663</c:v>
                </c:pt>
                <c:pt idx="2">
                  <c:v>0.11275529118238466</c:v>
                </c:pt>
              </c:numCache>
            </c:numRef>
          </c:val>
          <c:extLst>
            <c:ext xmlns:c16="http://schemas.microsoft.com/office/drawing/2014/chart" uri="{C3380CC4-5D6E-409C-BE32-E72D297353CC}">
              <c16:uniqueId val="{00000002-D126-4433-A8FA-288F50D207CF}"/>
            </c:ext>
          </c:extLst>
        </c:ser>
        <c:ser>
          <c:idx val="3"/>
          <c:order val="3"/>
          <c:tx>
            <c:strRef>
              <c:f>'U10m drift-fixed nets'!$H$165</c:f>
              <c:strCache>
                <c:ptCount val="1"/>
                <c:pt idx="0">
                  <c:v>Pollack</c:v>
                </c:pt>
              </c:strCache>
            </c:strRef>
          </c:tx>
          <c:spPr>
            <a:solidFill>
              <a:srgbClr val="648C2E"/>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nets'!$I$165:$K$165</c:f>
              <c:numCache>
                <c:formatCode>0%</c:formatCode>
                <c:ptCount val="3"/>
                <c:pt idx="0">
                  <c:v>0.13026543031449717</c:v>
                </c:pt>
                <c:pt idx="1">
                  <c:v>9.1834301617662067E-2</c:v>
                </c:pt>
                <c:pt idx="2">
                  <c:v>0</c:v>
                </c:pt>
              </c:numCache>
            </c:numRef>
          </c:val>
          <c:extLst>
            <c:ext xmlns:c16="http://schemas.microsoft.com/office/drawing/2014/chart" uri="{C3380CC4-5D6E-409C-BE32-E72D297353CC}">
              <c16:uniqueId val="{00000003-D126-4433-A8FA-288F50D207CF}"/>
            </c:ext>
          </c:extLst>
        </c:ser>
        <c:ser>
          <c:idx val="4"/>
          <c:order val="4"/>
          <c:tx>
            <c:strRef>
              <c:f>'U10m drift-fixed nets'!$H$166</c:f>
              <c:strCache>
                <c:ptCount val="1"/>
                <c:pt idx="0">
                  <c:v>Plaice</c:v>
                </c:pt>
              </c:strCache>
            </c:strRef>
          </c:tx>
          <c:spPr>
            <a:solidFill>
              <a:srgbClr val="FED825"/>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nets'!$I$166:$K$166</c:f>
              <c:numCache>
                <c:formatCode>0%</c:formatCode>
                <c:ptCount val="3"/>
                <c:pt idx="0">
                  <c:v>0</c:v>
                </c:pt>
                <c:pt idx="1">
                  <c:v>7.0675662982762885E-2</c:v>
                </c:pt>
                <c:pt idx="2">
                  <c:v>6.4338195610022991E-2</c:v>
                </c:pt>
              </c:numCache>
            </c:numRef>
          </c:val>
          <c:extLst>
            <c:ext xmlns:c16="http://schemas.microsoft.com/office/drawing/2014/chart" uri="{C3380CC4-5D6E-409C-BE32-E72D297353CC}">
              <c16:uniqueId val="{00000004-D126-4433-A8FA-288F50D207CF}"/>
            </c:ext>
          </c:extLst>
        </c:ser>
        <c:ser>
          <c:idx val="5"/>
          <c:order val="5"/>
          <c:tx>
            <c:strRef>
              <c:f>'U10m drift-fixed nets'!$H$167</c:f>
              <c:strCache>
                <c:ptCount val="1"/>
                <c:pt idx="0">
                  <c:v>Thornback Ray</c:v>
                </c:pt>
              </c:strCache>
            </c:strRef>
          </c:tx>
          <c:spPr>
            <a:solidFill>
              <a:srgbClr val="707271"/>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nets'!$I$167:$K$167</c:f>
              <c:numCache>
                <c:formatCode>0%</c:formatCode>
                <c:ptCount val="3"/>
                <c:pt idx="0">
                  <c:v>0</c:v>
                </c:pt>
                <c:pt idx="1">
                  <c:v>0</c:v>
                </c:pt>
                <c:pt idx="2">
                  <c:v>6.1940505287826242E-2</c:v>
                </c:pt>
              </c:numCache>
            </c:numRef>
          </c:val>
          <c:extLst>
            <c:ext xmlns:c16="http://schemas.microsoft.com/office/drawing/2014/chart" uri="{C3380CC4-5D6E-409C-BE32-E72D297353CC}">
              <c16:uniqueId val="{00000005-D126-4433-A8FA-288F50D207CF}"/>
            </c:ext>
          </c:extLst>
        </c:ser>
        <c:ser>
          <c:idx val="6"/>
          <c:order val="6"/>
          <c:tx>
            <c:strRef>
              <c:f>'U10m drift-fixed nets'!$H$168</c:f>
              <c:strCache>
                <c:ptCount val="1"/>
                <c:pt idx="0">
                  <c:v>Turbot</c:v>
                </c:pt>
              </c:strCache>
            </c:strRef>
          </c:tx>
          <c:spPr>
            <a:solidFill>
              <a:srgbClr val="E84A38"/>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nets'!$I$168:$K$168</c:f>
              <c:numCache>
                <c:formatCode>0%</c:formatCode>
                <c:ptCount val="3"/>
                <c:pt idx="0">
                  <c:v>7.6986353657702067E-2</c:v>
                </c:pt>
                <c:pt idx="1">
                  <c:v>0</c:v>
                </c:pt>
                <c:pt idx="2">
                  <c:v>0</c:v>
                </c:pt>
              </c:numCache>
            </c:numRef>
          </c:val>
          <c:extLst>
            <c:ext xmlns:c16="http://schemas.microsoft.com/office/drawing/2014/chart" uri="{C3380CC4-5D6E-409C-BE32-E72D297353CC}">
              <c16:uniqueId val="{00000006-D126-4433-A8FA-288F50D207CF}"/>
            </c:ext>
          </c:extLst>
        </c:ser>
        <c:ser>
          <c:idx val="7"/>
          <c:order val="7"/>
          <c:tx>
            <c:strRef>
              <c:f>'U10m drift-fixed nets'!$H$169</c:f>
              <c:strCache>
                <c:ptCount val="1"/>
                <c:pt idx="0">
                  <c:v>Brown Crab</c:v>
                </c:pt>
              </c:strCache>
            </c:strRef>
          </c:tx>
          <c:spPr>
            <a:solidFill>
              <a:srgbClr val="169FDB"/>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nets'!$I$169:$K$169</c:f>
              <c:numCache>
                <c:formatCode>0%</c:formatCode>
                <c:ptCount val="3"/>
                <c:pt idx="0">
                  <c:v>5.6686587814671389E-2</c:v>
                </c:pt>
                <c:pt idx="1">
                  <c:v>0</c:v>
                </c:pt>
                <c:pt idx="2">
                  <c:v>0</c:v>
                </c:pt>
              </c:numCache>
            </c:numRef>
          </c:val>
          <c:extLst>
            <c:ext xmlns:c16="http://schemas.microsoft.com/office/drawing/2014/chart" uri="{C3380CC4-5D6E-409C-BE32-E72D297353CC}">
              <c16:uniqueId val="{00000007-D126-4433-A8FA-288F50D207CF}"/>
            </c:ext>
          </c:extLst>
        </c:ser>
        <c:ser>
          <c:idx val="8"/>
          <c:order val="8"/>
          <c:tx>
            <c:strRef>
              <c:f>'U10m drift-fixed nets'!$H$170</c:f>
              <c:strCache>
                <c:ptCount val="1"/>
                <c:pt idx="0">
                  <c:v>Others</c:v>
                </c:pt>
              </c:strCache>
            </c:strRef>
          </c:tx>
          <c:spPr>
            <a:solidFill>
              <a:srgbClr val="55585A"/>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nets'!$I$170:$K$170</c:f>
              <c:numCache>
                <c:formatCode>0%</c:formatCode>
                <c:ptCount val="3"/>
                <c:pt idx="0">
                  <c:v>0.35099436211368218</c:v>
                </c:pt>
                <c:pt idx="1">
                  <c:v>0.24872176378331845</c:v>
                </c:pt>
                <c:pt idx="2">
                  <c:v>0.35633149639060691</c:v>
                </c:pt>
              </c:numCache>
            </c:numRef>
          </c:val>
          <c:extLst>
            <c:ext xmlns:c16="http://schemas.microsoft.com/office/drawing/2014/chart" uri="{C3380CC4-5D6E-409C-BE32-E72D297353CC}">
              <c16:uniqueId val="{00000008-D126-4433-A8FA-288F50D207CF}"/>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'U10m drift-fixed nets'!$K$139</c:f>
              <c:strCache>
                <c:ptCount val="1"/>
                <c:pt idx="0">
                  <c:v>Total income</c:v>
                </c:pt>
              </c:strCache>
            </c:strRef>
          </c:tx>
          <c:spPr>
            <a:solidFill>
              <a:srgbClr val="087CBB"/>
            </a:solidFill>
            <a:ln>
              <a:solidFill>
                <a:schemeClr val="accent1"/>
              </a:solidFill>
            </a:ln>
          </c:spPr>
          <c:invertIfNegative val="0"/>
          <c:cat>
            <c:strRef>
              <c:f>'U10m drift-fixed nets'!$L$138:$N$138</c:f>
              <c:strCache>
                <c:ptCount val="3"/>
                <c:pt idx="0">
                  <c:v>Most
profitable
quartile</c:v>
                </c:pt>
                <c:pt idx="1">
                  <c:v>Middle
two quartiles</c:v>
                </c:pt>
                <c:pt idx="2">
                  <c:v>Least
profitable
quartile</c:v>
                </c:pt>
              </c:strCache>
            </c:strRef>
          </c:cat>
          <c:val>
            <c:numRef>
              <c:f>'U10m drift-fixed nets'!$L$139:$N$139</c:f>
              <c:numCache>
                <c:formatCode>#,##0</c:formatCode>
                <c:ptCount val="3"/>
                <c:pt idx="0">
                  <c:v>67.642343749999995</c:v>
                </c:pt>
                <c:pt idx="1">
                  <c:v>39.404881072091598</c:v>
                </c:pt>
                <c:pt idx="2">
                  <c:v>29.463320312499999</c:v>
                </c:pt>
              </c:numCache>
            </c:numRef>
          </c:val>
          <c:extLst>
            <c:ext xmlns:c16="http://schemas.microsoft.com/office/drawing/2014/chart" uri="{C3380CC4-5D6E-409C-BE32-E72D297353CC}">
              <c16:uniqueId val="{00000000-E68F-4306-A097-1AD5A0C6EF2C}"/>
            </c:ext>
          </c:extLst>
        </c:ser>
        <c:ser>
          <c:idx val="1"/>
          <c:order val="1"/>
          <c:tx>
            <c:strRef>
              <c:f>'U10m drift-fixed nets'!$K$140</c:f>
              <c:strCache>
                <c:ptCount val="1"/>
                <c:pt idx="0">
                  <c:v>Operating costs</c:v>
                </c:pt>
              </c:strCache>
            </c:strRef>
          </c:tx>
          <c:spPr>
            <a:solidFill>
              <a:srgbClr val="E87308"/>
            </a:solidFill>
          </c:spPr>
          <c:invertIfNegative val="0"/>
          <c:cat>
            <c:strRef>
              <c:f>'U10m drift-fixed nets'!$L$138:$N$138</c:f>
              <c:strCache>
                <c:ptCount val="3"/>
                <c:pt idx="0">
                  <c:v>Most
profitable
quartile</c:v>
                </c:pt>
                <c:pt idx="1">
                  <c:v>Middle
two quartiles</c:v>
                </c:pt>
                <c:pt idx="2">
                  <c:v>Least
profitable
quartile</c:v>
                </c:pt>
              </c:strCache>
            </c:strRef>
          </c:cat>
          <c:val>
            <c:numRef>
              <c:f>'U10m drift-fixed nets'!$L$140:$N$140</c:f>
              <c:numCache>
                <c:formatCode>#,##0</c:formatCode>
                <c:ptCount val="3"/>
                <c:pt idx="0">
                  <c:v>39.766855468750002</c:v>
                </c:pt>
                <c:pt idx="1">
                  <c:v>25.291907835705398</c:v>
                </c:pt>
                <c:pt idx="2">
                  <c:v>21.796857421875</c:v>
                </c:pt>
              </c:numCache>
            </c:numRef>
          </c:val>
          <c:extLst>
            <c:ext xmlns:c16="http://schemas.microsoft.com/office/drawing/2014/chart" uri="{C3380CC4-5D6E-409C-BE32-E72D297353CC}">
              <c16:uniqueId val="{00000001-E68F-4306-A097-1AD5A0C6EF2C}"/>
            </c:ext>
          </c:extLst>
        </c:ser>
        <c:ser>
          <c:idx val="2"/>
          <c:order val="2"/>
          <c:tx>
            <c:strRef>
              <c:f>'U10m drift-fixed nets'!$K$141</c:f>
              <c:strCache>
                <c:ptCount val="1"/>
                <c:pt idx="0">
                  <c:v>Operating profit</c:v>
                </c:pt>
              </c:strCache>
            </c:strRef>
          </c:tx>
          <c:spPr>
            <a:solidFill>
              <a:srgbClr val="51AA81"/>
            </a:solidFill>
          </c:spPr>
          <c:invertIfNegative val="0"/>
          <c:cat>
            <c:strRef>
              <c:f>'U10m drift-fixed nets'!$L$138:$N$138</c:f>
              <c:strCache>
                <c:ptCount val="3"/>
                <c:pt idx="0">
                  <c:v>Most
profitable
quartile</c:v>
                </c:pt>
                <c:pt idx="1">
                  <c:v>Middle
two quartiles</c:v>
                </c:pt>
                <c:pt idx="2">
                  <c:v>Least
profitable
quartile</c:v>
                </c:pt>
              </c:strCache>
            </c:strRef>
          </c:cat>
          <c:val>
            <c:numRef>
              <c:f>'U10m drift-fixed nets'!$L$141:$N$141</c:f>
              <c:numCache>
                <c:formatCode>#,##0</c:formatCode>
                <c:ptCount val="3"/>
                <c:pt idx="0">
                  <c:v>27.87548828125</c:v>
                </c:pt>
                <c:pt idx="1">
                  <c:v>14.1129732363861</c:v>
                </c:pt>
                <c:pt idx="2">
                  <c:v>7.6664628906249996</c:v>
                </c:pt>
              </c:numCache>
            </c:numRef>
          </c:val>
          <c:extLst>
            <c:ext xmlns:c16="http://schemas.microsoft.com/office/drawing/2014/chart" uri="{C3380CC4-5D6E-409C-BE32-E72D297353CC}">
              <c16:uniqueId val="{00000002-E68F-4306-A097-1AD5A0C6EF2C}"/>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'U10m drift-fixed nets'!$K$142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traps'!$A$48</c:f>
          <c:strCache>
            <c:ptCount val="1"/>
            <c:pt idx="0">
              <c:v>Landings per kW day at sea (kg)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81CA-4828-B1E4-2E68A45AFADB}"/>
              </c:ext>
            </c:extLst>
          </c:dPt>
          <c:dPt>
            <c:idx val="10"/>
            <c:bubble3D val="0"/>
            <c:spPr>
              <a:ln w="57150">
                <a:solidFill>
                  <a:srgbClr val="2273B9"/>
                </a:solidFill>
                <a:prstDash val="sysDot"/>
              </a:ln>
            </c:spPr>
            <c:extLst>
              <c:ext xmlns:c16="http://schemas.microsoft.com/office/drawing/2014/chart" uri="{C3380CC4-5D6E-409C-BE32-E72D297353CC}">
                <c16:uniqueId val="{00000003-81CA-4828-B1E4-2E68A45AFADB}"/>
              </c:ext>
            </c:extLst>
          </c:dPt>
          <c:cat>
            <c:numRef>
              <c:f>'U10m pots and traps'!$D$2:$N$2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'U10m pots and traps'!$D$21:$N$21</c:f>
              <c:numCache>
                <c:formatCode>#,##0.00</c:formatCode>
                <c:ptCount val="11"/>
                <c:pt idx="0">
                  <c:v>2.2739023165943792</c:v>
                </c:pt>
                <c:pt idx="1">
                  <c:v>2.3015224651299344</c:v>
                </c:pt>
                <c:pt idx="2">
                  <c:v>2.6387625670278583</c:v>
                </c:pt>
                <c:pt idx="3">
                  <c:v>2.7986422073965769</c:v>
                </c:pt>
                <c:pt idx="4">
                  <c:v>2.4366922165614433</c:v>
                </c:pt>
                <c:pt idx="5">
                  <c:v>2.1620165451187079</c:v>
                </c:pt>
                <c:pt idx="6">
                  <c:v>2.4299966668068342</c:v>
                </c:pt>
                <c:pt idx="7">
                  <c:v>3.1662273423551111</c:v>
                </c:pt>
                <c:pt idx="8">
                  <c:v>2.6819373855238706</c:v>
                </c:pt>
                <c:pt idx="9">
                  <c:v>2.7999837222470023</c:v>
                </c:pt>
                <c:pt idx="10">
                  <c:v>2.7821756332790715</c:v>
                </c:pt>
              </c:numCache>
            </c:numRef>
          </c:val>
          <c:smooth val="0"/>
          <c:extLst>
            <c:ext xmlns:c16="http://schemas.microsoft.com/office/drawing/2014/chart" uri="{C3380CC4-5D6E-409C-BE32-E72D297353CC}">
              <c16:uniqueId val="{00000004-81CA-4828-B1E4-2E68A45AFADB}"/>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traps'!$A$49</c:f>
          <c:strCache>
            <c:ptCount val="1"/>
            <c:pt idx="0">
              <c:v>Fishing income per kW day at sea (£)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2C30-40C0-98AF-42E5025928C1}"/>
              </c:ext>
            </c:extLst>
          </c:dPt>
          <c:dPt>
            <c:idx val="10"/>
            <c:bubble3D val="0"/>
            <c:spPr>
              <a:ln w="57150">
                <a:solidFill>
                  <a:srgbClr val="648C2E"/>
                </a:solidFill>
                <a:prstDash val="sysDot"/>
              </a:ln>
            </c:spPr>
            <c:extLst>
              <c:ext xmlns:c16="http://schemas.microsoft.com/office/drawing/2014/chart" uri="{C3380CC4-5D6E-409C-BE32-E72D297353CC}">
                <c16:uniqueId val="{00000003-2C30-40C0-98AF-42E5025928C1}"/>
              </c:ext>
            </c:extLst>
          </c:dPt>
          <c:cat>
            <c:numRef>
              <c:f>'U10m pots and traps'!$D$2:$N$2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'U10m pots and traps'!$D$22:$N$22</c:f>
              <c:numCache>
                <c:formatCode>#,##0.00</c:formatCode>
                <c:ptCount val="11"/>
                <c:pt idx="0">
                  <c:v>6.2835118910815302</c:v>
                </c:pt>
                <c:pt idx="1">
                  <c:v>6.7029232692732696</c:v>
                </c:pt>
                <c:pt idx="2">
                  <c:v>6.6178721193751997</c:v>
                </c:pt>
                <c:pt idx="3">
                  <c:v>6.4944671760080697</c:v>
                </c:pt>
                <c:pt idx="4">
                  <c:v>6.0316721409124199</c:v>
                </c:pt>
                <c:pt idx="5">
                  <c:v>5.3538679019107498</c:v>
                </c:pt>
                <c:pt idx="6">
                  <c:v>6.6980414414194298</c:v>
                </c:pt>
                <c:pt idx="7">
                  <c:v>9.4569888561605708</c:v>
                </c:pt>
                <c:pt idx="8">
                  <c:v>10.081432194617101</c:v>
                </c:pt>
                <c:pt idx="9">
                  <c:v>10.242061191289899</c:v>
                </c:pt>
                <c:pt idx="10">
                  <c:v>8.4798829642941218</c:v>
                </c:pt>
              </c:numCache>
            </c:numRef>
          </c:val>
          <c:smooth val="0"/>
          <c:extLst>
            <c:ext xmlns:c16="http://schemas.microsoft.com/office/drawing/2014/chart" uri="{C3380CC4-5D6E-409C-BE32-E72D297353CC}">
              <c16:uniqueId val="{00000004-2C30-40C0-98AF-42E5025928C1}"/>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traps'!$B$62</c:f>
          <c:strCache>
            <c:ptCount val="1"/>
            <c:pt idx="0">
              <c:v>Total cost per kW day at sea (£)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68DD-4EC4-AC46-79746BD2D278}"/>
              </c:ext>
            </c:extLst>
          </c:dPt>
          <c:dPt>
            <c:idx val="10"/>
            <c:bubble3D val="0"/>
            <c:spPr>
              <a:ln w="57150">
                <a:solidFill>
                  <a:srgbClr val="087CBB"/>
                </a:solidFill>
                <a:prstDash val="sysDot"/>
              </a:ln>
            </c:spPr>
            <c:extLst>
              <c:ext xmlns:c16="http://schemas.microsoft.com/office/drawing/2014/chart" uri="{C3380CC4-5D6E-409C-BE32-E72D297353CC}">
                <c16:uniqueId val="{00000003-68DD-4EC4-AC46-79746BD2D278}"/>
              </c:ext>
            </c:extLst>
          </c:dPt>
          <c:cat>
            <c:numRef>
              <c:f>'U10m pots and traps'!$D$2:$N$2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'U10m pots and traps'!$D$23:$N$23</c:f>
              <c:numCache>
                <c:formatCode>#,##0.00</c:formatCode>
                <c:ptCount val="11"/>
                <c:pt idx="0">
                  <c:v>4.8432905898204197</c:v>
                </c:pt>
                <c:pt idx="1">
                  <c:v>5.2829520254052902</c:v>
                </c:pt>
                <c:pt idx="2">
                  <c:v>5.6361532983032498</c:v>
                </c:pt>
                <c:pt idx="3">
                  <c:v>5.3240609861349002</c:v>
                </c:pt>
                <c:pt idx="4">
                  <c:v>5.0411887355101097</c:v>
                </c:pt>
                <c:pt idx="5">
                  <c:v>4.4004078702927698</c:v>
                </c:pt>
                <c:pt idx="6">
                  <c:v>4.8566049082833</c:v>
                </c:pt>
                <c:pt idx="7">
                  <c:v>7.07538612036661</c:v>
                </c:pt>
                <c:pt idx="8">
                  <c:v>7.6266463159549298</c:v>
                </c:pt>
                <c:pt idx="9">
                  <c:v>8.1597581618971908</c:v>
                </c:pt>
                <c:pt idx="10">
                  <c:v>7.056969229851779</c:v>
                </c:pt>
              </c:numCache>
            </c:numRef>
          </c:val>
          <c:smooth val="0"/>
          <c:extLst>
            <c:ext xmlns:c16="http://schemas.microsoft.com/office/drawing/2014/chart" uri="{C3380CC4-5D6E-409C-BE32-E72D297353CC}">
              <c16:uniqueId val="{00000004-68DD-4EC4-AC46-79746BD2D278}"/>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traps'!$K$48</c:f>
          <c:strCache>
            <c:ptCount val="1"/>
            <c:pt idx="0">
              <c:v>Operating profit per kW day at sea (£)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16BD-4649-B5D1-64D4D6134686}"/>
              </c:ext>
            </c:extLst>
          </c:dPt>
          <c:dPt>
            <c:idx val="10"/>
            <c:bubble3D val="0"/>
            <c:spPr>
              <a:ln w="57150">
                <a:solidFill>
                  <a:schemeClr val="accent3"/>
                </a:solidFill>
                <a:prstDash val="sysDot"/>
              </a:ln>
            </c:spPr>
            <c:extLst>
              <c:ext xmlns:c16="http://schemas.microsoft.com/office/drawing/2014/chart" uri="{C3380CC4-5D6E-409C-BE32-E72D297353CC}">
                <c16:uniqueId val="{00000003-16BD-4649-B5D1-64D4D6134686}"/>
              </c:ext>
            </c:extLst>
          </c:dPt>
          <c:cat>
            <c:numRef>
              <c:f>'U10m pots and traps'!$D$2:$N$2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'U10m pots and traps'!$D$24:$N$24</c:f>
              <c:numCache>
                <c:formatCode>#,##0.00</c:formatCode>
                <c:ptCount val="11"/>
                <c:pt idx="0">
                  <c:v>1.67589449313988</c:v>
                </c:pt>
                <c:pt idx="1">
                  <c:v>1.72526642103349</c:v>
                </c:pt>
                <c:pt idx="2">
                  <c:v>1.2960492504574399</c:v>
                </c:pt>
                <c:pt idx="3">
                  <c:v>1.50244952095859</c:v>
                </c:pt>
                <c:pt idx="4">
                  <c:v>1.2370203244836899</c:v>
                </c:pt>
                <c:pt idx="5">
                  <c:v>1.0855225260946499</c:v>
                </c:pt>
                <c:pt idx="6">
                  <c:v>2.19265044855248</c:v>
                </c:pt>
                <c:pt idx="7">
                  <c:v>2.5977100603329202</c:v>
                </c:pt>
                <c:pt idx="8">
                  <c:v>2.82673600636502</c:v>
                </c:pt>
                <c:pt idx="9">
                  <c:v>2.5597660966895299</c:v>
                </c:pt>
                <c:pt idx="10">
                  <c:v>2.4354489306577158</c:v>
                </c:pt>
              </c:numCache>
            </c:numRef>
          </c:val>
          <c:smooth val="0"/>
          <c:extLst>
            <c:ext xmlns:c16="http://schemas.microsoft.com/office/drawing/2014/chart" uri="{C3380CC4-5D6E-409C-BE32-E72D297353CC}">
              <c16:uniqueId val="{00000004-16BD-4649-B5D1-64D4D6134686}"/>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traps'!$A$50</c:f>
          <c:strCache>
            <c:ptCount val="1"/>
            <c:pt idx="0">
              <c:v>Average price per tonne landed (£)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BF6C-4A77-8176-897C265306E5}"/>
              </c:ext>
            </c:extLst>
          </c:dPt>
          <c:dPt>
            <c:idx val="10"/>
            <c:bubble3D val="0"/>
            <c:spPr>
              <a:ln w="57150">
                <a:solidFill>
                  <a:schemeClr val="accent4"/>
                </a:solidFill>
                <a:prstDash val="sysDot"/>
              </a:ln>
            </c:spPr>
            <c:extLst>
              <c:ext xmlns:c16="http://schemas.microsoft.com/office/drawing/2014/chart" uri="{C3380CC4-5D6E-409C-BE32-E72D297353CC}">
                <c16:uniqueId val="{00000003-BF6C-4A77-8176-897C265306E5}"/>
              </c:ext>
            </c:extLst>
          </c:dPt>
          <c:cat>
            <c:numRef>
              <c:f>'U10m pots and traps'!$D$2:$M$2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'U10m pots and traps'!$D$20:$N$20</c:f>
              <c:numCache>
                <c:formatCode>#,##0</c:formatCode>
                <c:ptCount val="11"/>
                <c:pt idx="0">
                  <c:v>2763</c:v>
                </c:pt>
                <c:pt idx="1">
                  <c:v>2912</c:v>
                </c:pt>
                <c:pt idx="2">
                  <c:v>2508</c:v>
                </c:pt>
                <c:pt idx="3">
                  <c:v>2321</c:v>
                </c:pt>
                <c:pt idx="4">
                  <c:v>2475</c:v>
                </c:pt>
                <c:pt idx="5">
                  <c:v>2476</c:v>
                </c:pt>
                <c:pt idx="6">
                  <c:v>2756</c:v>
                </c:pt>
                <c:pt idx="7">
                  <c:v>2987</c:v>
                </c:pt>
                <c:pt idx="8">
                  <c:v>3759</c:v>
                </c:pt>
                <c:pt idx="9">
                  <c:v>3658</c:v>
                </c:pt>
                <c:pt idx="10">
                  <c:v>3048</c:v>
                </c:pt>
              </c:numCache>
            </c:numRef>
          </c:val>
          <c:smooth val="0"/>
          <c:extLst>
            <c:ext xmlns:c16="http://schemas.microsoft.com/office/drawing/2014/chart" uri="{C3380CC4-5D6E-409C-BE32-E72D297353CC}">
              <c16:uniqueId val="{00000004-BF6C-4A77-8176-897C265306E5}"/>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u250kW'!$K$77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VIIa nephrops u250kW'!$C$92</c:f>
              <c:strCache>
                <c:ptCount val="1"/>
                <c:pt idx="0">
                  <c:v>Nephrops</c:v>
                </c:pt>
              </c:strCache>
            </c:strRef>
          </c:tx>
          <c:spPr>
            <a:solidFill>
              <a:srgbClr val="2273B9"/>
            </a:solidFill>
            <a:ln>
              <a:solidFill>
                <a:srgbClr val="FFFFFF"/>
              </a:solidFill>
            </a:ln>
          </c:spPr>
          <c:invertIfNegative val="0"/>
          <c:cat>
            <c:numRef>
              <c:f>'Area VIIa nephrops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u250kW'!$D$92:$M$92</c:f>
              <c:numCache>
                <c:formatCode>0%</c:formatCode>
                <c:ptCount val="10"/>
                <c:pt idx="0">
                  <c:v>0.91819852474464458</c:v>
                </c:pt>
                <c:pt idx="1">
                  <c:v>0.9032060191856186</c:v>
                </c:pt>
                <c:pt idx="2">
                  <c:v>0.87362223867882838</c:v>
                </c:pt>
                <c:pt idx="3">
                  <c:v>0.90305949853469503</c:v>
                </c:pt>
                <c:pt idx="4">
                  <c:v>0.90278331713224658</c:v>
                </c:pt>
                <c:pt idx="5">
                  <c:v>0.84235050500163366</c:v>
                </c:pt>
                <c:pt idx="6">
                  <c:v>0.83241359367682344</c:v>
                </c:pt>
                <c:pt idx="7">
                  <c:v>0.83064250311910492</c:v>
                </c:pt>
                <c:pt idx="8">
                  <c:v>0.85011352937044671</c:v>
                </c:pt>
                <c:pt idx="9">
                  <c:v>0.86578623852118031</c:v>
                </c:pt>
              </c:numCache>
            </c:numRef>
          </c:val>
          <c:extLst>
            <c:ext xmlns:c16="http://schemas.microsoft.com/office/drawing/2014/chart" uri="{C3380CC4-5D6E-409C-BE32-E72D297353CC}">
              <c16:uniqueId val="{00000000-F542-4B88-ADDD-E063E4CDD8FA}"/>
            </c:ext>
          </c:extLst>
        </c:ser>
        <c:ser>
          <c:idx val="1"/>
          <c:order val="1"/>
          <c:tx>
            <c:strRef>
              <c:f>'Area VIIa nephrops u250kW'!$C$93</c:f>
              <c:strCache>
                <c:ptCount val="1"/>
                <c:pt idx="0">
                  <c:v>Scallops</c:v>
                </c:pt>
              </c:strCache>
            </c:strRef>
          </c:tx>
          <c:spPr>
            <a:solidFill>
              <a:srgbClr val="E87308"/>
            </a:solidFill>
            <a:ln>
              <a:solidFill>
                <a:srgbClr val="FFFFFF"/>
              </a:solidFill>
            </a:ln>
          </c:spPr>
          <c:invertIfNegative val="0"/>
          <c:cat>
            <c:numRef>
              <c:f>'Area VIIa nephrops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u250kW'!$D$93:$M$93</c:f>
              <c:numCache>
                <c:formatCode>0%</c:formatCode>
                <c:ptCount val="10"/>
                <c:pt idx="0">
                  <c:v>3.8677457039047021E-2</c:v>
                </c:pt>
                <c:pt idx="1">
                  <c:v>4.7225279783895284E-2</c:v>
                </c:pt>
                <c:pt idx="2">
                  <c:v>6.2311719672642353E-2</c:v>
                </c:pt>
                <c:pt idx="3">
                  <c:v>6.8313504717746706E-2</c:v>
                </c:pt>
                <c:pt idx="4">
                  <c:v>6.9062931124094756E-2</c:v>
                </c:pt>
                <c:pt idx="5">
                  <c:v>0.11641502449298242</c:v>
                </c:pt>
                <c:pt idx="6">
                  <c:v>8.2874988975500982E-2</c:v>
                </c:pt>
                <c:pt idx="7">
                  <c:v>0.10175588599698468</c:v>
                </c:pt>
                <c:pt idx="8">
                  <c:v>7.6051848433357827E-2</c:v>
                </c:pt>
                <c:pt idx="9">
                  <c:v>7.6102779210236907E-2</c:v>
                </c:pt>
              </c:numCache>
            </c:numRef>
          </c:val>
          <c:extLst>
            <c:ext xmlns:c16="http://schemas.microsoft.com/office/drawing/2014/chart" uri="{C3380CC4-5D6E-409C-BE32-E72D297353CC}">
              <c16:uniqueId val="{00000001-F542-4B88-ADDD-E063E4CDD8FA}"/>
            </c:ext>
          </c:extLst>
        </c:ser>
        <c:ser>
          <c:idx val="2"/>
          <c:order val="2"/>
          <c:tx>
            <c:strRef>
              <c:f>'Area VIIa nephrops u250kW'!$C$94</c:f>
              <c:strCache>
                <c:ptCount val="1"/>
                <c:pt idx="0">
                  <c:v>Anglerfish</c:v>
                </c:pt>
              </c:strCache>
            </c:strRef>
          </c:tx>
          <c:spPr>
            <a:solidFill>
              <a:srgbClr val="648C2E"/>
            </a:solidFill>
            <a:ln>
              <a:solidFill>
                <a:srgbClr val="FFFFFF"/>
              </a:solidFill>
            </a:ln>
          </c:spPr>
          <c:invertIfNegative val="0"/>
          <c:cat>
            <c:numRef>
              <c:f>'Area VIIa nephrops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u250kW'!$D$94:$M$94</c:f>
              <c:numCache>
                <c:formatCode>0%</c:formatCode>
                <c:ptCount val="10"/>
                <c:pt idx="0">
                  <c:v>8.9998677931392695E-3</c:v>
                </c:pt>
                <c:pt idx="1">
                  <c:v>9.202321175997728E-3</c:v>
                </c:pt>
                <c:pt idx="2">
                  <c:v>9.5638870923398702E-3</c:v>
                </c:pt>
                <c:pt idx="3">
                  <c:v>7.1671041442173938E-3</c:v>
                </c:pt>
                <c:pt idx="4">
                  <c:v>4.9242666298980799E-3</c:v>
                </c:pt>
                <c:pt idx="5">
                  <c:v>9.0009472793854562E-3</c:v>
                </c:pt>
                <c:pt idx="6">
                  <c:v>1.6754843455143338E-2</c:v>
                </c:pt>
                <c:pt idx="7">
                  <c:v>1.7492875569921903E-2</c:v>
                </c:pt>
                <c:pt idx="8">
                  <c:v>1.3740227970290583E-2</c:v>
                </c:pt>
                <c:pt idx="9">
                  <c:v>1.3662675778808643E-2</c:v>
                </c:pt>
              </c:numCache>
            </c:numRef>
          </c:val>
          <c:extLst>
            <c:ext xmlns:c16="http://schemas.microsoft.com/office/drawing/2014/chart" uri="{C3380CC4-5D6E-409C-BE32-E72D297353CC}">
              <c16:uniqueId val="{00000002-F542-4B88-ADDD-E063E4CDD8FA}"/>
            </c:ext>
          </c:extLst>
        </c:ser>
        <c:ser>
          <c:idx val="3"/>
          <c:order val="3"/>
          <c:tx>
            <c:strRef>
              <c:f>'Area VIIa nephrops u250kW'!$C$95</c:f>
              <c:strCache>
                <c:ptCount val="1"/>
                <c:pt idx="0">
                  <c:v>Haddock</c:v>
                </c:pt>
              </c:strCache>
            </c:strRef>
          </c:tx>
          <c:spPr>
            <a:solidFill>
              <a:srgbClr val="C1D119"/>
            </a:solidFill>
            <a:ln>
              <a:solidFill>
                <a:srgbClr val="FFFFFF"/>
              </a:solidFill>
            </a:ln>
          </c:spPr>
          <c:invertIfNegative val="0"/>
          <c:cat>
            <c:numRef>
              <c:f>'Area VIIa nephrops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u250kW'!$D$95:$M$95</c:f>
              <c:numCache>
                <c:formatCode>0%</c:formatCode>
                <c:ptCount val="10"/>
                <c:pt idx="5">
                  <c:v>3.6080946254053543E-3</c:v>
                </c:pt>
                <c:pt idx="6">
                  <c:v>1.9500595550144356E-2</c:v>
                </c:pt>
                <c:pt idx="7">
                  <c:v>1.1270461610199203E-2</c:v>
                </c:pt>
                <c:pt idx="8">
                  <c:v>1.1290620686416647E-2</c:v>
                </c:pt>
              </c:numCache>
            </c:numRef>
          </c:val>
          <c:extLst>
            <c:ext xmlns:c16="http://schemas.microsoft.com/office/drawing/2014/chart" uri="{C3380CC4-5D6E-409C-BE32-E72D297353CC}">
              <c16:uniqueId val="{00000003-F542-4B88-ADDD-E063E4CDD8FA}"/>
            </c:ext>
          </c:extLst>
        </c:ser>
        <c:ser>
          <c:idx val="4"/>
          <c:order val="4"/>
          <c:tx>
            <c:strRef>
              <c:f>'Area VIIa nephrops u250kW'!$C$96</c:f>
              <c:strCache>
                <c:ptCount val="1"/>
                <c:pt idx="0">
                  <c:v>Brill</c:v>
                </c:pt>
              </c:strCache>
            </c:strRef>
          </c:tx>
          <c:spPr>
            <a:solidFill>
              <a:srgbClr val="E84A38"/>
            </a:solidFill>
            <a:ln>
              <a:solidFill>
                <a:srgbClr val="FFFFFF"/>
              </a:solidFill>
            </a:ln>
          </c:spPr>
          <c:invertIfNegative val="0"/>
          <c:cat>
            <c:numRef>
              <c:f>'Area VIIa nephrops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u250kW'!$D$96:$M$96</c:f>
              <c:numCache>
                <c:formatCode>0%</c:formatCode>
                <c:ptCount val="10"/>
                <c:pt idx="8">
                  <c:v>6.4757651591502621E-3</c:v>
                </c:pt>
              </c:numCache>
            </c:numRef>
          </c:val>
          <c:extLst>
            <c:ext xmlns:c16="http://schemas.microsoft.com/office/drawing/2014/chart" uri="{C3380CC4-5D6E-409C-BE32-E72D297353CC}">
              <c16:uniqueId val="{00000004-F542-4B88-ADDD-E063E4CDD8FA}"/>
            </c:ext>
          </c:extLst>
        </c:ser>
        <c:ser>
          <c:idx val="5"/>
          <c:order val="5"/>
          <c:tx>
            <c:strRef>
              <c:f>'Area VIIa nephrops u250kW'!$C$97</c:f>
              <c:strCache>
                <c:ptCount val="1"/>
                <c:pt idx="0">
                  <c:v>Brown Crab</c:v>
                </c:pt>
              </c:strCache>
            </c:strRef>
          </c:tx>
          <c:spPr>
            <a:solidFill>
              <a:srgbClr val="0F9AA9"/>
            </a:solidFill>
            <a:ln>
              <a:solidFill>
                <a:srgbClr val="FFFFFF"/>
              </a:solidFill>
            </a:ln>
          </c:spPr>
          <c:invertIfNegative val="0"/>
          <c:cat>
            <c:numRef>
              <c:f>'Area VIIa nephrops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u250kW'!$D$97:$M$97</c:f>
              <c:numCache>
                <c:formatCode>0%</c:formatCode>
                <c:ptCount val="10"/>
                <c:pt idx="9">
                  <c:v>5.4309643106827035E-3</c:v>
                </c:pt>
              </c:numCache>
            </c:numRef>
          </c:val>
          <c:extLst>
            <c:ext xmlns:c16="http://schemas.microsoft.com/office/drawing/2014/chart" uri="{C3380CC4-5D6E-409C-BE32-E72D297353CC}">
              <c16:uniqueId val="{00000005-F542-4B88-ADDD-E063E4CDD8FA}"/>
            </c:ext>
          </c:extLst>
        </c:ser>
        <c:ser>
          <c:idx val="6"/>
          <c:order val="6"/>
          <c:tx>
            <c:strRef>
              <c:f>'Area VIIa nephrops u250kW'!$C$98</c:f>
              <c:strCache>
                <c:ptCount val="1"/>
                <c:pt idx="0">
                  <c:v>Les. Spot. Dog</c:v>
                </c:pt>
              </c:strCache>
            </c:strRef>
          </c:tx>
          <c:spPr>
            <a:solidFill>
              <a:srgbClr val="FED825"/>
            </a:solidFill>
            <a:ln>
              <a:solidFill>
                <a:srgbClr val="FFFFFF"/>
              </a:solidFill>
            </a:ln>
          </c:spPr>
          <c:invertIfNegative val="0"/>
          <c:cat>
            <c:numRef>
              <c:f>'Area VIIa nephrops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u250kW'!$D$98:$M$98</c:f>
              <c:numCache>
                <c:formatCode>0%</c:formatCode>
                <c:ptCount val="10"/>
                <c:pt idx="3">
                  <c:v>2.9582267272523508E-3</c:v>
                </c:pt>
                <c:pt idx="4">
                  <c:v>5.3321319175030383E-3</c:v>
                </c:pt>
                <c:pt idx="9">
                  <c:v>5.4182653202055151E-3</c:v>
                </c:pt>
              </c:numCache>
            </c:numRef>
          </c:val>
          <c:extLst>
            <c:ext xmlns:c16="http://schemas.microsoft.com/office/drawing/2014/chart" uri="{C3380CC4-5D6E-409C-BE32-E72D297353CC}">
              <c16:uniqueId val="{00000006-F542-4B88-ADDD-E063E4CDD8FA}"/>
            </c:ext>
          </c:extLst>
        </c:ser>
        <c:ser>
          <c:idx val="7"/>
          <c:order val="7"/>
          <c:tx>
            <c:strRef>
              <c:f>'Area VIIa nephrops u250kW'!$C$99</c:f>
              <c:strCache>
                <c:ptCount val="1"/>
                <c:pt idx="0">
                  <c:v>Queen Scallops</c:v>
                </c:pt>
              </c:strCache>
            </c:strRef>
          </c:tx>
          <c:spPr>
            <a:solidFill>
              <a:srgbClr val="707271"/>
            </a:solidFill>
            <a:ln>
              <a:solidFill>
                <a:srgbClr val="FFFFFF"/>
              </a:solidFill>
            </a:ln>
          </c:spPr>
          <c:invertIfNegative val="0"/>
          <c:cat>
            <c:numRef>
              <c:f>'Area VIIa nephrops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u250kW'!$D$99:$M$99</c:f>
              <c:numCache>
                <c:formatCode>0%</c:formatCode>
                <c:ptCount val="10"/>
                <c:pt idx="1">
                  <c:v>1.0185477174296147E-2</c:v>
                </c:pt>
                <c:pt idx="2">
                  <c:v>1.533402192904279E-2</c:v>
                </c:pt>
                <c:pt idx="7">
                  <c:v>9.138369465403395E-3</c:v>
                </c:pt>
              </c:numCache>
            </c:numRef>
          </c:val>
          <c:extLst>
            <c:ext xmlns:c16="http://schemas.microsoft.com/office/drawing/2014/chart" uri="{C3380CC4-5D6E-409C-BE32-E72D297353CC}">
              <c16:uniqueId val="{00000007-F542-4B88-ADDD-E063E4CDD8FA}"/>
            </c:ext>
          </c:extLst>
        </c:ser>
        <c:ser>
          <c:idx val="8"/>
          <c:order val="8"/>
          <c:tx>
            <c:strRef>
              <c:f>'Area VIIa nephrops u250kW'!$C$100</c:f>
              <c:strCache>
                <c:ptCount val="1"/>
                <c:pt idx="0">
                  <c:v>Mussels</c:v>
                </c:pt>
              </c:strCache>
            </c:strRef>
          </c:tx>
          <c:spPr>
            <a:solidFill>
              <a:srgbClr val="51AA81"/>
            </a:solidFill>
            <a:ln>
              <a:solidFill>
                <a:srgbClr val="FFFFFF"/>
              </a:solidFill>
            </a:ln>
          </c:spPr>
          <c:invertIfNegative val="0"/>
          <c:cat>
            <c:numRef>
              <c:f>'Area VIIa nephrops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u250kW'!$D$100:$M$100</c:f>
              <c:numCache>
                <c:formatCode>0%</c:formatCode>
                <c:ptCount val="10"/>
                <c:pt idx="6">
                  <c:v>1.2449452022894953E-2</c:v>
                </c:pt>
              </c:numCache>
            </c:numRef>
          </c:val>
          <c:extLst>
            <c:ext xmlns:c16="http://schemas.microsoft.com/office/drawing/2014/chart" uri="{C3380CC4-5D6E-409C-BE32-E72D297353CC}">
              <c16:uniqueId val="{00000008-F542-4B88-ADDD-E063E4CDD8FA}"/>
            </c:ext>
          </c:extLst>
        </c:ser>
        <c:ser>
          <c:idx val="9"/>
          <c:order val="9"/>
          <c:tx>
            <c:strRef>
              <c:f>'Area VIIa nephrops u250kW'!$C$101</c:f>
              <c:strCache>
                <c:ptCount val="1"/>
                <c:pt idx="0">
                  <c:v>Razor Clam</c:v>
                </c:pt>
              </c:strCache>
            </c:strRef>
          </c:tx>
          <c:spPr>
            <a:solidFill>
              <a:srgbClr val="169FDB"/>
            </a:solidFill>
            <a:ln>
              <a:solidFill>
                <a:srgbClr val="FFFFFF"/>
              </a:solidFill>
            </a:ln>
          </c:spPr>
          <c:invertIfNegative val="0"/>
          <c:cat>
            <c:numRef>
              <c:f>'Area VIIa nephrops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u250kW'!$D$101:$M$101</c:f>
              <c:numCache>
                <c:formatCode>0%</c:formatCode>
                <c:ptCount val="10"/>
                <c:pt idx="5">
                  <c:v>6.6140044958555161E-3</c:v>
                </c:pt>
              </c:numCache>
            </c:numRef>
          </c:val>
          <c:extLst>
            <c:ext xmlns:c16="http://schemas.microsoft.com/office/drawing/2014/chart" uri="{C3380CC4-5D6E-409C-BE32-E72D297353CC}">
              <c16:uniqueId val="{00000009-F542-4B88-ADDD-E063E4CDD8FA}"/>
            </c:ext>
          </c:extLst>
        </c:ser>
        <c:ser>
          <c:idx val="10"/>
          <c:order val="10"/>
          <c:tx>
            <c:strRef>
              <c:f>'Area VIIa nephrops u250kW'!$C$102</c:f>
              <c:strCache>
                <c:ptCount val="1"/>
                <c:pt idx="0">
                  <c:v>Thornback Ray</c:v>
                </c:pt>
              </c:strCache>
            </c:strRef>
          </c:tx>
          <c:spPr>
            <a:solidFill>
              <a:srgbClr val="E40D2C"/>
            </a:solidFill>
            <a:ln>
              <a:solidFill>
                <a:srgbClr val="FFFFFF"/>
              </a:solidFill>
            </a:ln>
          </c:spPr>
          <c:invertIfNegative val="0"/>
          <c:cat>
            <c:numRef>
              <c:f>'Area VIIa nephrops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u250kW'!$D$102:$M$102</c:f>
              <c:numCache>
                <c:formatCode>0%</c:formatCode>
                <c:ptCount val="10"/>
                <c:pt idx="1">
                  <c:v>5.3794633634969306E-3</c:v>
                </c:pt>
                <c:pt idx="2">
                  <c:v>6.2204424265200594E-3</c:v>
                </c:pt>
                <c:pt idx="4">
                  <c:v>3.8797037336966785E-3</c:v>
                </c:pt>
              </c:numCache>
            </c:numRef>
          </c:val>
          <c:extLst>
            <c:ext xmlns:c16="http://schemas.microsoft.com/office/drawing/2014/chart" uri="{C3380CC4-5D6E-409C-BE32-E72D297353CC}">
              <c16:uniqueId val="{0000000A-F542-4B88-ADDD-E063E4CDD8FA}"/>
            </c:ext>
          </c:extLst>
        </c:ser>
        <c:ser>
          <c:idx val="11"/>
          <c:order val="11"/>
          <c:tx>
            <c:strRef>
              <c:f>'Area VIIa nephrops u250kW'!$C$103</c:f>
              <c:strCache>
                <c:ptCount val="1"/>
                <c:pt idx="0">
                  <c:v>Cod</c:v>
                </c:pt>
              </c:strCache>
            </c:strRef>
          </c:tx>
          <c:spPr>
            <a:solidFill>
              <a:srgbClr val="B4C3E5"/>
            </a:solidFill>
            <a:ln>
              <a:solidFill>
                <a:srgbClr val="FFFFFF"/>
              </a:solidFill>
            </a:ln>
          </c:spPr>
          <c:invertIfNegative val="0"/>
          <c:cat>
            <c:numRef>
              <c:f>'Area VIIa nephrops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u250kW'!$D$103:$M$103</c:f>
              <c:numCache>
                <c:formatCode>0%</c:formatCode>
                <c:ptCount val="10"/>
                <c:pt idx="3">
                  <c:v>3.8377268953566661E-3</c:v>
                </c:pt>
              </c:numCache>
            </c:numRef>
          </c:val>
          <c:extLst>
            <c:ext xmlns:c16="http://schemas.microsoft.com/office/drawing/2014/chart" uri="{C3380CC4-5D6E-409C-BE32-E72D297353CC}">
              <c16:uniqueId val="{0000000B-F542-4B88-ADDD-E063E4CDD8FA}"/>
            </c:ext>
          </c:extLst>
        </c:ser>
        <c:ser>
          <c:idx val="12"/>
          <c:order val="12"/>
          <c:tx>
            <c:strRef>
              <c:f>'Area VIIa nephrops u250kW'!$C$104</c:f>
              <c:strCache>
                <c:ptCount val="1"/>
                <c:pt idx="0">
                  <c:v>Squid</c:v>
                </c:pt>
              </c:strCache>
            </c:strRef>
          </c:tx>
          <c:spPr>
            <a:solidFill>
              <a:srgbClr val="F8CBA1"/>
            </a:solidFill>
            <a:ln>
              <a:solidFill>
                <a:srgbClr val="FFFFFF"/>
              </a:solidFill>
            </a:ln>
          </c:spPr>
          <c:invertIfNegative val="0"/>
          <c:cat>
            <c:numRef>
              <c:f>'Area VIIa nephrops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u250kW'!$D$104:$M$104</c:f>
              <c:numCache>
                <c:formatCode>0%</c:formatCode>
                <c:ptCount val="10"/>
                <c:pt idx="0">
                  <c:v>4.6822239088286366E-3</c:v>
                </c:pt>
              </c:numCache>
            </c:numRef>
          </c:val>
          <c:extLst>
            <c:ext xmlns:c16="http://schemas.microsoft.com/office/drawing/2014/chart" uri="{C3380CC4-5D6E-409C-BE32-E72D297353CC}">
              <c16:uniqueId val="{0000000C-F542-4B88-ADDD-E063E4CDD8FA}"/>
            </c:ext>
          </c:extLst>
        </c:ser>
        <c:ser>
          <c:idx val="13"/>
          <c:order val="13"/>
          <c:tx>
            <c:strRef>
              <c:f>'Area VIIa nephrops u250kW'!$C$105</c:f>
              <c:strCache>
                <c:ptCount val="1"/>
                <c:pt idx="0">
                  <c:v>Turbot</c:v>
                </c:pt>
              </c:strCache>
            </c:strRef>
          </c:tx>
          <c:spPr>
            <a:solidFill>
              <a:srgbClr val="C5CDA6"/>
            </a:solidFill>
            <a:ln>
              <a:solidFill>
                <a:srgbClr val="FFFFFF"/>
              </a:solidFill>
            </a:ln>
          </c:spPr>
          <c:invertIfNegative val="0"/>
          <c:cat>
            <c:numRef>
              <c:f>'Area VIIa nephrops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u250kW'!$D$105:$M$105</c:f>
              <c:numCache>
                <c:formatCode>0%</c:formatCode>
                <c:ptCount val="10"/>
                <c:pt idx="0">
                  <c:v>4.2477827740144813E-3</c:v>
                </c:pt>
              </c:numCache>
            </c:numRef>
          </c:val>
          <c:extLst>
            <c:ext xmlns:c16="http://schemas.microsoft.com/office/drawing/2014/chart" uri="{C3380CC4-5D6E-409C-BE32-E72D297353CC}">
              <c16:uniqueId val="{0000000D-F542-4B88-ADDD-E063E4CDD8FA}"/>
            </c:ext>
          </c:extLst>
        </c:ser>
        <c:ser>
          <c:idx val="14"/>
          <c:order val="14"/>
          <c:tx>
            <c:strRef>
              <c:f>'Area VIIa nephrops u250kW'!$C$106</c:f>
              <c:strCache>
                <c:ptCount val="1"/>
                <c:pt idx="0">
                  <c:v>Others</c:v>
                </c:pt>
              </c:strCache>
            </c:strRef>
          </c:tx>
          <c:spPr>
            <a:solidFill>
              <a:srgbClr val="55585A"/>
            </a:solidFill>
            <a:ln>
              <a:solidFill>
                <a:srgbClr val="FFFFFF"/>
              </a:solidFill>
            </a:ln>
          </c:spPr>
          <c:invertIfNegative val="0"/>
          <c:cat>
            <c:numRef>
              <c:f>'Area VIIa nephrops u250kW'!$D$91:$M$91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u250kW'!$D$106:$M$106</c:f>
              <c:numCache>
                <c:formatCode>0%</c:formatCode>
                <c:ptCount val="10"/>
                <c:pt idx="0">
                  <c:v>2.5194143740326035E-2</c:v>
                </c:pt>
                <c:pt idx="1">
                  <c:v>2.4801439316695324E-2</c:v>
                </c:pt>
                <c:pt idx="2">
                  <c:v>3.294769020062658E-2</c:v>
                </c:pt>
                <c:pt idx="3">
                  <c:v>1.4663938980731834E-2</c:v>
                </c:pt>
                <c:pt idx="4">
                  <c:v>1.4017649462560849E-2</c:v>
                </c:pt>
                <c:pt idx="5">
                  <c:v>2.2011424104737588E-2</c:v>
                </c:pt>
                <c:pt idx="6">
                  <c:v>3.6006526319492971E-2</c:v>
                </c:pt>
                <c:pt idx="7">
                  <c:v>2.9699904238385859E-2</c:v>
                </c:pt>
                <c:pt idx="8">
                  <c:v>4.2328008380337991E-2</c:v>
                </c:pt>
                <c:pt idx="9">
                  <c:v>3.3599076858885975E-2</c:v>
                </c:pt>
              </c:numCache>
            </c:numRef>
          </c:val>
          <c:extLst>
            <c:ext xmlns:c16="http://schemas.microsoft.com/office/drawing/2014/chart" uri="{C3380CC4-5D6E-409C-BE32-E72D297353CC}">
              <c16:uniqueId val="{0000000E-F542-4B88-ADDD-E063E4CDD8FA}"/>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traps'!$K$62</c:f>
          <c:strCache>
            <c:ptCount val="1"/>
            <c:pt idx="0">
              <c:v>Average annual operating profit per vessel (£'000)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C8D5-4810-8FC9-BB3CEFF5AA0F}"/>
              </c:ext>
            </c:extLst>
          </c:dPt>
          <c:dPt>
            <c:idx val="10"/>
            <c:bubble3D val="0"/>
            <c:spPr>
              <a:ln w="57150">
                <a:solidFill>
                  <a:schemeClr val="accent5"/>
                </a:solidFill>
                <a:prstDash val="sysDot"/>
              </a:ln>
            </c:spPr>
            <c:extLst>
              <c:ext xmlns:c16="http://schemas.microsoft.com/office/drawing/2014/chart" uri="{C3380CC4-5D6E-409C-BE32-E72D297353CC}">
                <c16:uniqueId val="{00000003-C8D5-4810-8FC9-BB3CEFF5AA0F}"/>
              </c:ext>
            </c:extLst>
          </c:dPt>
          <c:cat>
            <c:numRef>
              <c:f>'U10m pots and traps'!$D$2:$M$2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'U10m pots and traps'!$D$37:$N$37</c:f>
              <c:numCache>
                <c:formatCode>#,##0.0</c:formatCode>
                <c:ptCount val="11"/>
                <c:pt idx="0">
                  <c:v>15.5</c:v>
                </c:pt>
                <c:pt idx="1">
                  <c:v>15.1</c:v>
                </c:pt>
                <c:pt idx="2">
                  <c:v>11.7</c:v>
                </c:pt>
                <c:pt idx="3">
                  <c:v>14.3</c:v>
                </c:pt>
                <c:pt idx="4">
                  <c:v>12.9</c:v>
                </c:pt>
                <c:pt idx="5">
                  <c:v>12.2</c:v>
                </c:pt>
                <c:pt idx="6">
                  <c:v>22.8</c:v>
                </c:pt>
                <c:pt idx="7">
                  <c:v>19.100000000000001</c:v>
                </c:pt>
                <c:pt idx="8">
                  <c:v>20.399999999999999</c:v>
                </c:pt>
                <c:pt idx="9">
                  <c:v>19.100000000000001</c:v>
                </c:pt>
                <c:pt idx="10">
                  <c:v>17.2</c:v>
                </c:pt>
              </c:numCache>
            </c:numRef>
          </c:val>
          <c:smooth val="0"/>
          <c:extLst>
            <c:ext xmlns:c16="http://schemas.microsoft.com/office/drawing/2014/chart" uri="{C3380CC4-5D6E-409C-BE32-E72D297353CC}">
              <c16:uniqueId val="{00000004-C8D5-4810-8FC9-BB3CEFF5AA0F}"/>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pots and traps'!$A$76</c:f>
          <c:strCache>
            <c:ptCount val="1"/>
            <c:pt idx="0">
              <c:v>Top 5 landed species by volume in 2019
Under 10m pots and traps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E87308"/>
              </a:solidFill>
              <a:ln>
                <a:solidFill>
                  <a:srgbClr val="FFFFFF"/>
                </a:solidFill>
              </a:ln>
            </c:spPr>
            <c:extLst>
              <c:ext xmlns:c16="http://schemas.microsoft.com/office/drawing/2014/chart" uri="{C3380CC4-5D6E-409C-BE32-E72D297353CC}">
                <c16:uniqueId val="{00000001-478A-4C4A-97B8-AC26B37D898F}"/>
              </c:ext>
            </c:extLst>
          </c:dPt>
          <c:dPt>
            <c:idx val="1"/>
            <c:bubble3D val="0"/>
            <c:spPr>
              <a:solidFill>
                <a:srgbClr val="648C2E"/>
              </a:solidFill>
              <a:ln>
                <a:solidFill>
                  <a:srgbClr val="FFFFFF"/>
                </a:solidFill>
              </a:ln>
            </c:spPr>
            <c:extLst>
              <c:ext xmlns:c16="http://schemas.microsoft.com/office/drawing/2014/chart" uri="{C3380CC4-5D6E-409C-BE32-E72D297353CC}">
                <c16:uniqueId val="{00000003-478A-4C4A-97B8-AC26B37D898F}"/>
              </c:ext>
            </c:extLst>
          </c:dPt>
          <c:dPt>
            <c:idx val="2"/>
            <c:bubble3D val="0"/>
            <c:spPr>
              <a:solidFill>
                <a:srgbClr val="2273B9"/>
              </a:solidFill>
              <a:ln>
                <a:solidFill>
                  <a:srgbClr val="FFFFFF"/>
                </a:solidFill>
              </a:ln>
            </c:spPr>
            <c:extLst>
              <c:ext xmlns:c16="http://schemas.microsoft.com/office/drawing/2014/chart" uri="{C3380CC4-5D6E-409C-BE32-E72D297353CC}">
                <c16:uniqueId val="{00000005-478A-4C4A-97B8-AC26B37D898F}"/>
              </c:ext>
            </c:extLst>
          </c:dPt>
          <c:dPt>
            <c:idx val="3"/>
            <c:bubble3D val="0"/>
            <c:spPr>
              <a:solidFill>
                <a:srgbClr val="E84A38"/>
              </a:solidFill>
              <a:ln>
                <a:solidFill>
                  <a:srgbClr val="FFFFFF"/>
                </a:solidFill>
              </a:ln>
            </c:spPr>
            <c:extLst>
              <c:ext xmlns:c16="http://schemas.microsoft.com/office/drawing/2014/chart" uri="{C3380CC4-5D6E-409C-BE32-E72D297353CC}">
                <c16:uniqueId val="{00000007-478A-4C4A-97B8-AC26B37D898F}"/>
              </c:ext>
            </c:extLst>
          </c:dPt>
          <c:dPt>
            <c:idx val="4"/>
            <c:bubble3D val="0"/>
            <c:spPr>
              <a:solidFill>
                <a:srgbClr val="C1D119"/>
              </a:solidFill>
              <a:ln>
                <a:solidFill>
                  <a:srgbClr val="FFFFFF"/>
                </a:solidFill>
              </a:ln>
            </c:spPr>
            <c:extLst>
              <c:ext xmlns:c16="http://schemas.microsoft.com/office/drawing/2014/chart" uri="{C3380CC4-5D6E-409C-BE32-E72D297353CC}">
                <c16:uniqueId val="{00000009-478A-4C4A-97B8-AC26B37D898F}"/>
              </c:ext>
            </c:extLst>
          </c:dPt>
          <c:dPt>
            <c:idx val="5"/>
            <c:bubble3D val="0"/>
            <c:spPr>
              <a:solidFill>
                <a:srgbClr val="55585A"/>
              </a:solidFill>
              <a:ln>
                <a:solidFill>
                  <a:srgbClr val="FFFFFF"/>
                </a:solidFill>
              </a:ln>
            </c:spPr>
            <c:extLst>
              <c:ext xmlns:c16="http://schemas.microsoft.com/office/drawing/2014/chart" uri="{C3380CC4-5D6E-409C-BE32-E72D297353CC}">
                <c16:uniqueId val="{0000000B-478A-4C4A-97B8-AC26B37D898F}"/>
              </c:ext>
            </c:extLst>
          </c:dPt>
          <c:cat>
            <c:strRef>
              <c:f>'U10m pots and traps'!$B$77:$B$82</c:f>
              <c:strCache>
                <c:ptCount val="6"/>
                <c:pt idx="0">
                  <c:v>Brown Crab - 37.9%</c:v>
                </c:pt>
                <c:pt idx="1">
                  <c:v>Whelks - 35.0%</c:v>
                </c:pt>
                <c:pt idx="2">
                  <c:v>Lobsters - 8.3%</c:v>
                </c:pt>
                <c:pt idx="3">
                  <c:v>Velvet Crab - 6.2%</c:v>
                </c:pt>
                <c:pt idx="4">
                  <c:v>Nephrops - 3.9%</c:v>
                </c:pt>
                <c:pt idx="5">
                  <c:v>Others - 8.7%</c:v>
                </c:pt>
              </c:strCache>
            </c:strRef>
          </c:cat>
          <c:val>
            <c:numRef>
              <c:f>'U10m pots and traps'!$C$77:$C$82</c:f>
              <c:numCache>
                <c:formatCode>0.0%</c:formatCode>
                <c:ptCount val="6"/>
                <c:pt idx="0">
                  <c:v>0.3788675176958724</c:v>
                </c:pt>
                <c:pt idx="1">
                  <c:v>0.34970053844883819</c:v>
                </c:pt>
                <c:pt idx="2">
                  <c:v>8.2790322924770343E-2</c:v>
                </c:pt>
                <c:pt idx="3">
                  <c:v>6.234206566260117E-2</c:v>
                </c:pt>
                <c:pt idx="4">
                  <c:v>3.9490744065159872E-2</c:v>
                </c:pt>
                <c:pt idx="5">
                  <c:v>8.6808811202758074E-2</c:v>
                </c:pt>
              </c:numCache>
            </c:numRef>
          </c:val>
          <c:extLst>
            <c:ext xmlns:c16="http://schemas.microsoft.com/office/drawing/2014/chart" uri="{C3380CC4-5D6E-409C-BE32-E72D297353CC}">
              <c16:uniqueId val="{0000000C-478A-4C4A-97B8-AC26B37D898F}"/>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pots and traps'!$F$76</c:f>
          <c:strCache>
            <c:ptCount val="1"/>
            <c:pt idx="0">
              <c:v>Top 5 landed species by value in 2019
Under 10m pots and traps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2B0F-4135-8307-C069ECD84A29}"/>
              </c:ext>
            </c:extLst>
          </c:dPt>
          <c:dPt>
            <c:idx val="1"/>
            <c:bubble3D val="0"/>
            <c:spPr>
              <a:solidFill>
                <a:srgbClr val="E87308"/>
              </a:solidFill>
              <a:ln>
                <a:solidFill>
                  <a:srgbClr val="FFFFFF"/>
                </a:solidFill>
              </a:ln>
            </c:spPr>
            <c:extLst>
              <c:ext xmlns:c16="http://schemas.microsoft.com/office/drawing/2014/chart" uri="{C3380CC4-5D6E-409C-BE32-E72D297353CC}">
                <c16:uniqueId val="{00000003-2B0F-4135-8307-C069ECD84A29}"/>
              </c:ext>
            </c:extLst>
          </c:dPt>
          <c:dPt>
            <c:idx val="2"/>
            <c:bubble3D val="0"/>
            <c:spPr>
              <a:solidFill>
                <a:srgbClr val="648C2E"/>
              </a:solidFill>
              <a:ln>
                <a:solidFill>
                  <a:srgbClr val="FFFFFF"/>
                </a:solidFill>
              </a:ln>
            </c:spPr>
            <c:extLst>
              <c:ext xmlns:c16="http://schemas.microsoft.com/office/drawing/2014/chart" uri="{C3380CC4-5D6E-409C-BE32-E72D297353CC}">
                <c16:uniqueId val="{00000005-2B0F-4135-8307-C069ECD84A29}"/>
              </c:ext>
            </c:extLst>
          </c:dPt>
          <c:dPt>
            <c:idx val="3"/>
            <c:bubble3D val="0"/>
            <c:spPr>
              <a:solidFill>
                <a:srgbClr val="C1D119"/>
              </a:solidFill>
              <a:ln>
                <a:solidFill>
                  <a:srgbClr val="FFFFFF"/>
                </a:solidFill>
              </a:ln>
            </c:spPr>
            <c:extLst>
              <c:ext xmlns:c16="http://schemas.microsoft.com/office/drawing/2014/chart" uri="{C3380CC4-5D6E-409C-BE32-E72D297353CC}">
                <c16:uniqueId val="{00000007-2B0F-4135-8307-C069ECD84A29}"/>
              </c:ext>
            </c:extLst>
          </c:dPt>
          <c:dPt>
            <c:idx val="4"/>
            <c:bubble3D val="0"/>
            <c:spPr>
              <a:solidFill>
                <a:srgbClr val="E84A38"/>
              </a:solidFill>
              <a:ln>
                <a:solidFill>
                  <a:srgbClr val="FFFFFF"/>
                </a:solidFill>
              </a:ln>
            </c:spPr>
            <c:extLst>
              <c:ext xmlns:c16="http://schemas.microsoft.com/office/drawing/2014/chart" uri="{C3380CC4-5D6E-409C-BE32-E72D297353CC}">
                <c16:uniqueId val="{00000009-2B0F-4135-8307-C069ECD84A29}"/>
              </c:ext>
            </c:extLst>
          </c:dPt>
          <c:dPt>
            <c:idx val="5"/>
            <c:bubble3D val="0"/>
            <c:spPr>
              <a:solidFill>
                <a:srgbClr val="55585A"/>
              </a:solidFill>
              <a:ln>
                <a:solidFill>
                  <a:srgbClr val="FFFFFF"/>
                </a:solidFill>
              </a:ln>
            </c:spPr>
            <c:extLst>
              <c:ext xmlns:c16="http://schemas.microsoft.com/office/drawing/2014/chart" uri="{C3380CC4-5D6E-409C-BE32-E72D297353CC}">
                <c16:uniqueId val="{0000000B-2B0F-4135-8307-C069ECD84A29}"/>
              </c:ext>
            </c:extLst>
          </c:dPt>
          <c:cat>
            <c:strRef>
              <c:f>'U10m pots and traps'!$G$77:$G$82</c:f>
              <c:strCache>
                <c:ptCount val="6"/>
                <c:pt idx="0">
                  <c:v>Lobsters - 33.1%</c:v>
                </c:pt>
                <c:pt idx="1">
                  <c:v>Brown Crab - 25.1%</c:v>
                </c:pt>
                <c:pt idx="2">
                  <c:v>Whelks - 13.5%</c:v>
                </c:pt>
                <c:pt idx="3">
                  <c:v>Nephrops - 11.9%</c:v>
                </c:pt>
                <c:pt idx="4">
                  <c:v>Velvet Crab - 4.9%</c:v>
                </c:pt>
                <c:pt idx="5">
                  <c:v>Others - 11.5%</c:v>
                </c:pt>
              </c:strCache>
            </c:strRef>
          </c:cat>
          <c:val>
            <c:numRef>
              <c:f>'U10m pots and traps'!$H$77:$H$82</c:f>
              <c:numCache>
                <c:formatCode>0.0%</c:formatCode>
                <c:ptCount val="6"/>
                <c:pt idx="0">
                  <c:v>0.33051776243611769</c:v>
                </c:pt>
                <c:pt idx="1">
                  <c:v>0.25130936573552887</c:v>
                </c:pt>
                <c:pt idx="2">
                  <c:v>0.13474894776875462</c:v>
                </c:pt>
                <c:pt idx="3">
                  <c:v>0.11877136420083888</c:v>
                </c:pt>
                <c:pt idx="4">
                  <c:v>4.9286782248782482E-2</c:v>
                </c:pt>
                <c:pt idx="5">
                  <c:v>0.11536577760997746</c:v>
                </c:pt>
              </c:numCache>
            </c:numRef>
          </c:val>
          <c:extLst>
            <c:ext xmlns:c16="http://schemas.microsoft.com/office/drawing/2014/chart" uri="{C3380CC4-5D6E-409C-BE32-E72D297353CC}">
              <c16:uniqueId val="{0000000C-2B0F-4135-8307-C069ECD84A29}"/>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pots and traps'!$K$77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'U10m pots and traps'!$C$92</c:f>
              <c:strCache>
                <c:ptCount val="1"/>
                <c:pt idx="0">
                  <c:v>Lobsters</c:v>
                </c:pt>
              </c:strCache>
            </c:strRef>
          </c:tx>
          <c:spPr>
            <a:solidFill>
              <a:srgbClr val="2273B9"/>
            </a:solidFill>
            <a:ln>
              <a:solidFill>
                <a:srgbClr val="FFFFFF"/>
              </a:solidFill>
            </a:ln>
          </c:spPr>
          <c:invertIfNegative val="0"/>
          <c:cat>
            <c:numRef>
              <c:f>'U10m pots and traps'!$D$91:$M$91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pots and traps'!$D$92:$M$92</c:f>
              <c:numCache>
                <c:formatCode>0%</c:formatCode>
                <c:ptCount val="10"/>
                <c:pt idx="0">
                  <c:v>0.39494175153203903</c:v>
                </c:pt>
                <c:pt idx="1">
                  <c:v>0.36502556932876773</c:v>
                </c:pt>
                <c:pt idx="2">
                  <c:v>0.34003652663415679</c:v>
                </c:pt>
                <c:pt idx="3">
                  <c:v>0.36419418406921011</c:v>
                </c:pt>
                <c:pt idx="4">
                  <c:v>0.35296323450458078</c:v>
                </c:pt>
                <c:pt idx="5">
                  <c:v>0.3549799561924239</c:v>
                </c:pt>
                <c:pt idx="6">
                  <c:v>0.37001449132522973</c:v>
                </c:pt>
                <c:pt idx="7">
                  <c:v>0.34332332311956221</c:v>
                </c:pt>
                <c:pt idx="8">
                  <c:v>0.33051776243611769</c:v>
                </c:pt>
                <c:pt idx="9">
                  <c:v>0.33241946924784321</c:v>
                </c:pt>
              </c:numCache>
            </c:numRef>
          </c:val>
          <c:extLst>
            <c:ext xmlns:c16="http://schemas.microsoft.com/office/drawing/2014/chart" uri="{C3380CC4-5D6E-409C-BE32-E72D297353CC}">
              <c16:uniqueId val="{00000000-8690-4282-B44D-840FAD7916B3}"/>
            </c:ext>
          </c:extLst>
        </c:ser>
        <c:ser>
          <c:idx val="1"/>
          <c:order val="1"/>
          <c:tx>
            <c:strRef>
              <c:f>'U10m pots and traps'!$C$93</c:f>
              <c:strCache>
                <c:ptCount val="1"/>
                <c:pt idx="0">
                  <c:v>Brown Crab</c:v>
                </c:pt>
              </c:strCache>
            </c:strRef>
          </c:tx>
          <c:spPr>
            <a:solidFill>
              <a:srgbClr val="E87308"/>
            </a:solidFill>
            <a:ln>
              <a:solidFill>
                <a:srgbClr val="FFFFFF"/>
              </a:solidFill>
            </a:ln>
          </c:spPr>
          <c:invertIfNegative val="0"/>
          <c:cat>
            <c:numRef>
              <c:f>'U10m pots and traps'!$D$91:$M$91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pots and traps'!$D$93:$M$93</c:f>
              <c:numCache>
                <c:formatCode>0%</c:formatCode>
                <c:ptCount val="10"/>
                <c:pt idx="0">
                  <c:v>0.18195243066616429</c:v>
                </c:pt>
                <c:pt idx="1">
                  <c:v>0.19887113656414013</c:v>
                </c:pt>
                <c:pt idx="2">
                  <c:v>0.21913460467890972</c:v>
                </c:pt>
                <c:pt idx="3">
                  <c:v>0.21996905331399605</c:v>
                </c:pt>
                <c:pt idx="4">
                  <c:v>0.19513409480648133</c:v>
                </c:pt>
                <c:pt idx="5">
                  <c:v>0.18724003629137176</c:v>
                </c:pt>
                <c:pt idx="6">
                  <c:v>0.2215417344013417</c:v>
                </c:pt>
                <c:pt idx="7">
                  <c:v>0.2661791796973853</c:v>
                </c:pt>
                <c:pt idx="8">
                  <c:v>0.25130936573552887</c:v>
                </c:pt>
                <c:pt idx="9">
                  <c:v>0.17419173690914921</c:v>
                </c:pt>
              </c:numCache>
            </c:numRef>
          </c:val>
          <c:extLst>
            <c:ext xmlns:c16="http://schemas.microsoft.com/office/drawing/2014/chart" uri="{C3380CC4-5D6E-409C-BE32-E72D297353CC}">
              <c16:uniqueId val="{00000001-8690-4282-B44D-840FAD7916B3}"/>
            </c:ext>
          </c:extLst>
        </c:ser>
        <c:ser>
          <c:idx val="2"/>
          <c:order val="2"/>
          <c:tx>
            <c:strRef>
              <c:f>'U10m pots and traps'!$C$94</c:f>
              <c:strCache>
                <c:ptCount val="1"/>
                <c:pt idx="0">
                  <c:v>Whelks</c:v>
                </c:pt>
              </c:strCache>
            </c:strRef>
          </c:tx>
          <c:spPr>
            <a:solidFill>
              <a:srgbClr val="648C2E"/>
            </a:solidFill>
            <a:ln>
              <a:solidFill>
                <a:srgbClr val="FFFFFF"/>
              </a:solidFill>
            </a:ln>
          </c:spPr>
          <c:invertIfNegative val="0"/>
          <c:cat>
            <c:numRef>
              <c:f>'U10m pots and traps'!$D$91:$M$91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pots and traps'!$D$94:$M$94</c:f>
              <c:numCache>
                <c:formatCode>0%</c:formatCode>
                <c:ptCount val="10"/>
                <c:pt idx="0">
                  <c:v>7.9411016843279406E-2</c:v>
                </c:pt>
                <c:pt idx="1">
                  <c:v>0.11513054749764493</c:v>
                </c:pt>
                <c:pt idx="2">
                  <c:v>0.15137428864624347</c:v>
                </c:pt>
                <c:pt idx="3">
                  <c:v>0.14810159426481262</c:v>
                </c:pt>
                <c:pt idx="4">
                  <c:v>0.16970908477680197</c:v>
                </c:pt>
                <c:pt idx="5">
                  <c:v>0.15707506835919924</c:v>
                </c:pt>
                <c:pt idx="6">
                  <c:v>0.14292730706938964</c:v>
                </c:pt>
                <c:pt idx="7">
                  <c:v>0.11895798980968077</c:v>
                </c:pt>
                <c:pt idx="8">
                  <c:v>0.13474894776875462</c:v>
                </c:pt>
                <c:pt idx="9">
                  <c:v>0.17126135959900818</c:v>
                </c:pt>
              </c:numCache>
            </c:numRef>
          </c:val>
          <c:extLst>
            <c:ext xmlns:c16="http://schemas.microsoft.com/office/drawing/2014/chart" uri="{C3380CC4-5D6E-409C-BE32-E72D297353CC}">
              <c16:uniqueId val="{00000002-8690-4282-B44D-840FAD7916B3}"/>
            </c:ext>
          </c:extLst>
        </c:ser>
        <c:ser>
          <c:idx val="3"/>
          <c:order val="3"/>
          <c:tx>
            <c:strRef>
              <c:f>'U10m pots and traps'!$C$95</c:f>
              <c:strCache>
                <c:ptCount val="1"/>
                <c:pt idx="0">
                  <c:v>Nephrops</c:v>
                </c:pt>
              </c:strCache>
            </c:strRef>
          </c:tx>
          <c:spPr>
            <a:solidFill>
              <a:srgbClr val="C1D119"/>
            </a:solidFill>
            <a:ln>
              <a:solidFill>
                <a:srgbClr val="FFFFFF"/>
              </a:solidFill>
            </a:ln>
          </c:spPr>
          <c:invertIfNegative val="0"/>
          <c:cat>
            <c:numRef>
              <c:f>'U10m pots and traps'!$D$91:$M$91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pots and traps'!$D$95:$M$95</c:f>
              <c:numCache>
                <c:formatCode>0%</c:formatCode>
                <c:ptCount val="10"/>
                <c:pt idx="0">
                  <c:v>0.17945932609308093</c:v>
                </c:pt>
                <c:pt idx="1">
                  <c:v>0.16247934641206993</c:v>
                </c:pt>
                <c:pt idx="2">
                  <c:v>0.15990272546177953</c:v>
                </c:pt>
                <c:pt idx="3">
                  <c:v>0.13795101368633267</c:v>
                </c:pt>
                <c:pt idx="4">
                  <c:v>0.13848288586096147</c:v>
                </c:pt>
                <c:pt idx="5">
                  <c:v>0.13288444592665466</c:v>
                </c:pt>
                <c:pt idx="6">
                  <c:v>0.12102599100790816</c:v>
                </c:pt>
                <c:pt idx="7">
                  <c:v>0.13122629878249964</c:v>
                </c:pt>
                <c:pt idx="8">
                  <c:v>0.11877136420083888</c:v>
                </c:pt>
                <c:pt idx="9">
                  <c:v>0.12527643857305734</c:v>
                </c:pt>
              </c:numCache>
            </c:numRef>
          </c:val>
          <c:extLst>
            <c:ext xmlns:c16="http://schemas.microsoft.com/office/drawing/2014/chart" uri="{C3380CC4-5D6E-409C-BE32-E72D297353CC}">
              <c16:uniqueId val="{00000003-8690-4282-B44D-840FAD7916B3}"/>
            </c:ext>
          </c:extLst>
        </c:ser>
        <c:ser>
          <c:idx val="4"/>
          <c:order val="4"/>
          <c:tx>
            <c:strRef>
              <c:f>'U10m pots and traps'!$C$96</c:f>
              <c:strCache>
                <c:ptCount val="1"/>
                <c:pt idx="0">
                  <c:v>Velvet Crab</c:v>
                </c:pt>
              </c:strCache>
            </c:strRef>
          </c:tx>
          <c:spPr>
            <a:solidFill>
              <a:srgbClr val="E84A38"/>
            </a:solidFill>
            <a:ln>
              <a:solidFill>
                <a:srgbClr val="FFFFFF"/>
              </a:solidFill>
            </a:ln>
          </c:spPr>
          <c:invertIfNegative val="0"/>
          <c:cat>
            <c:numRef>
              <c:f>'U10m pots and traps'!$D$91:$M$91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pots and traps'!$D$96:$M$96</c:f>
              <c:numCache>
                <c:formatCode>0%</c:formatCode>
                <c:ptCount val="10"/>
                <c:pt idx="0">
                  <c:v>9.0438671178624586E-2</c:v>
                </c:pt>
                <c:pt idx="1">
                  <c:v>7.8410383988516227E-2</c:v>
                </c:pt>
                <c:pt idx="2">
                  <c:v>5.9482192273110968E-2</c:v>
                </c:pt>
                <c:pt idx="3">
                  <c:v>5.7562983323076494E-2</c:v>
                </c:pt>
                <c:pt idx="4">
                  <c:v>5.6248885906698916E-2</c:v>
                </c:pt>
                <c:pt idx="5">
                  <c:v>5.5268666611520821E-2</c:v>
                </c:pt>
                <c:pt idx="6">
                  <c:v>5.7635457025674929E-2</c:v>
                </c:pt>
                <c:pt idx="7">
                  <c:v>4.782274144942928E-2</c:v>
                </c:pt>
                <c:pt idx="8">
                  <c:v>4.9286782248782482E-2</c:v>
                </c:pt>
              </c:numCache>
            </c:numRef>
          </c:val>
          <c:extLst>
            <c:ext xmlns:c16="http://schemas.microsoft.com/office/drawing/2014/chart" uri="{C3380CC4-5D6E-409C-BE32-E72D297353CC}">
              <c16:uniqueId val="{00000004-8690-4282-B44D-840FAD7916B3}"/>
            </c:ext>
          </c:extLst>
        </c:ser>
        <c:ser>
          <c:idx val="5"/>
          <c:order val="5"/>
          <c:tx>
            <c:strRef>
              <c:f>'U10m pots and traps'!$C$97</c:f>
              <c:strCache>
                <c:ptCount val="1"/>
                <c:pt idx="0">
                  <c:v>Others</c:v>
                </c:pt>
              </c:strCache>
            </c:strRef>
          </c:tx>
          <c:spPr>
            <a:solidFill>
              <a:srgbClr val="55585A"/>
            </a:solidFill>
            <a:ln>
              <a:solidFill>
                <a:srgbClr val="FFFFFF"/>
              </a:solidFill>
            </a:ln>
          </c:spPr>
          <c:invertIfNegative val="0"/>
          <c:cat>
            <c:numRef>
              <c:f>'U10m pots and traps'!$D$91:$M$91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pots and traps'!$D$97:$M$97</c:f>
              <c:numCache>
                <c:formatCode>0%</c:formatCode>
                <c:ptCount val="10"/>
                <c:pt idx="0">
                  <c:v>7.3796803686811727E-2</c:v>
                </c:pt>
                <c:pt idx="1">
                  <c:v>8.0083016208861046E-2</c:v>
                </c:pt>
                <c:pt idx="2">
                  <c:v>7.0069662305799529E-2</c:v>
                </c:pt>
                <c:pt idx="3">
                  <c:v>7.2221171342572082E-2</c:v>
                </c:pt>
                <c:pt idx="4">
                  <c:v>8.7461814144475541E-2</c:v>
                </c:pt>
                <c:pt idx="5">
                  <c:v>0.11255182661882963</c:v>
                </c:pt>
                <c:pt idx="6">
                  <c:v>8.6855019170455836E-2</c:v>
                </c:pt>
                <c:pt idx="7">
                  <c:v>9.2490467141442823E-2</c:v>
                </c:pt>
                <c:pt idx="8">
                  <c:v>0.11536577760997743</c:v>
                </c:pt>
                <c:pt idx="9">
                  <c:v>0.1361658428726524</c:v>
                </c:pt>
              </c:numCache>
            </c:numRef>
          </c:val>
          <c:extLst>
            <c:ext xmlns:c16="http://schemas.microsoft.com/office/drawing/2014/chart" uri="{C3380CC4-5D6E-409C-BE32-E72D297353CC}">
              <c16:uniqueId val="{00000005-8690-4282-B44D-840FAD7916B3}"/>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'U10m pots and traps'!$B$162</c:f>
              <c:strCache>
                <c:ptCount val="1"/>
                <c:pt idx="0">
                  <c:v>Brown Crab</c:v>
                </c:pt>
              </c:strCache>
            </c:strRef>
          </c:tx>
          <c:spPr>
            <a:solidFill>
              <a:srgbClr val="E87308"/>
            </a:solidFill>
            <a:ln>
              <a:solidFill>
                <a:srgbClr val="FFFFFF"/>
              </a:solidFill>
            </a:ln>
          </c:spPr>
          <c:invertIfNegative val="0"/>
          <c:cat>
            <c:strRef>
              <c:f>'U10m pots and traps'!$C$161:$E$161</c:f>
              <c:strCache>
                <c:ptCount val="3"/>
                <c:pt idx="0">
                  <c:v>Most
profitable
quartile</c:v>
                </c:pt>
                <c:pt idx="1">
                  <c:v>Middle 
two quartiles</c:v>
                </c:pt>
                <c:pt idx="2">
                  <c:v>Least
profitable
quartile</c:v>
                </c:pt>
              </c:strCache>
            </c:strRef>
          </c:cat>
          <c:val>
            <c:numRef>
              <c:f>'U10m pots and traps'!$C$162:$E$162</c:f>
              <c:numCache>
                <c:formatCode>0%</c:formatCode>
                <c:ptCount val="3"/>
                <c:pt idx="0">
                  <c:v>0.35385128664081589</c:v>
                </c:pt>
                <c:pt idx="1">
                  <c:v>0.41034057804575574</c:v>
                </c:pt>
                <c:pt idx="2">
                  <c:v>0.38891461000357475</c:v>
                </c:pt>
              </c:numCache>
            </c:numRef>
          </c:val>
          <c:extLst>
            <c:ext xmlns:c16="http://schemas.microsoft.com/office/drawing/2014/chart" uri="{C3380CC4-5D6E-409C-BE32-E72D297353CC}">
              <c16:uniqueId val="{00000000-CE20-4A4E-A65D-38EE53ABE4E7}"/>
            </c:ext>
          </c:extLst>
        </c:ser>
        <c:ser>
          <c:idx val="1"/>
          <c:order val="1"/>
          <c:tx>
            <c:strRef>
              <c:f>'U10m pots and traps'!$B$163</c:f>
              <c:strCache>
                <c:ptCount val="1"/>
                <c:pt idx="0">
                  <c:v>Whelks</c:v>
                </c:pt>
              </c:strCache>
            </c:strRef>
          </c:tx>
          <c:spPr>
            <a:solidFill>
              <a:srgbClr val="648C2E"/>
            </a:solidFill>
            <a:ln>
              <a:solidFill>
                <a:srgbClr val="FFFFFF"/>
              </a:solidFill>
            </a:ln>
          </c:spPr>
          <c:invertIfNegative val="0"/>
          <c:cat>
            <c:strRef>
              <c:f>'U10m pots and traps'!$C$161:$E$161</c:f>
              <c:strCache>
                <c:ptCount val="3"/>
                <c:pt idx="0">
                  <c:v>Most
profitable
quartile</c:v>
                </c:pt>
                <c:pt idx="1">
                  <c:v>Middle 
two quartiles</c:v>
                </c:pt>
                <c:pt idx="2">
                  <c:v>Least
profitable
quartile</c:v>
                </c:pt>
              </c:strCache>
            </c:strRef>
          </c:cat>
          <c:val>
            <c:numRef>
              <c:f>'U10m pots and traps'!$C$163:$E$163</c:f>
              <c:numCache>
                <c:formatCode>0%</c:formatCode>
                <c:ptCount val="3"/>
                <c:pt idx="0">
                  <c:v>0.46177830548656501</c:v>
                </c:pt>
                <c:pt idx="1">
                  <c:v>0.30133946281543084</c:v>
                </c:pt>
                <c:pt idx="2">
                  <c:v>0.15650915945463656</c:v>
                </c:pt>
              </c:numCache>
            </c:numRef>
          </c:val>
          <c:extLst>
            <c:ext xmlns:c16="http://schemas.microsoft.com/office/drawing/2014/chart" uri="{C3380CC4-5D6E-409C-BE32-E72D297353CC}">
              <c16:uniqueId val="{00000001-CE20-4A4E-A65D-38EE53ABE4E7}"/>
            </c:ext>
          </c:extLst>
        </c:ser>
        <c:ser>
          <c:idx val="2"/>
          <c:order val="2"/>
          <c:tx>
            <c:strRef>
              <c:f>'U10m pots and traps'!$B$164</c:f>
              <c:strCache>
                <c:ptCount val="1"/>
                <c:pt idx="0">
                  <c:v>Lobsters</c:v>
                </c:pt>
              </c:strCache>
            </c:strRef>
          </c:tx>
          <c:spPr>
            <a:solidFill>
              <a:srgbClr val="2273B9"/>
            </a:solidFill>
            <a:ln>
              <a:solidFill>
                <a:srgbClr val="FFFFFF"/>
              </a:solidFill>
            </a:ln>
          </c:spPr>
          <c:invertIfNegative val="0"/>
          <c:cat>
            <c:strRef>
              <c:f>'U10m pots and traps'!$C$161:$E$161</c:f>
              <c:strCache>
                <c:ptCount val="3"/>
                <c:pt idx="0">
                  <c:v>Most
profitable
quartile</c:v>
                </c:pt>
                <c:pt idx="1">
                  <c:v>Middle 
two quartiles</c:v>
                </c:pt>
                <c:pt idx="2">
                  <c:v>Least
profitable
quartile</c:v>
                </c:pt>
              </c:strCache>
            </c:strRef>
          </c:cat>
          <c:val>
            <c:numRef>
              <c:f>'U10m pots and traps'!$C$164:$E$164</c:f>
              <c:numCache>
                <c:formatCode>0%</c:formatCode>
                <c:ptCount val="3"/>
                <c:pt idx="0">
                  <c:v>6.9862323166008169E-2</c:v>
                </c:pt>
                <c:pt idx="1">
                  <c:v>9.3640643258877623E-2</c:v>
                </c:pt>
                <c:pt idx="2">
                  <c:v>9.737634416988368E-2</c:v>
                </c:pt>
              </c:numCache>
            </c:numRef>
          </c:val>
          <c:extLst>
            <c:ext xmlns:c16="http://schemas.microsoft.com/office/drawing/2014/chart" uri="{C3380CC4-5D6E-409C-BE32-E72D297353CC}">
              <c16:uniqueId val="{00000002-CE20-4A4E-A65D-38EE53ABE4E7}"/>
            </c:ext>
          </c:extLst>
        </c:ser>
        <c:ser>
          <c:idx val="3"/>
          <c:order val="3"/>
          <c:tx>
            <c:strRef>
              <c:f>'U10m pots and traps'!$B$165</c:f>
              <c:strCache>
                <c:ptCount val="1"/>
                <c:pt idx="0">
                  <c:v>Velvet Crab</c:v>
                </c:pt>
              </c:strCache>
            </c:strRef>
          </c:tx>
          <c:spPr>
            <a:solidFill>
              <a:srgbClr val="E84A38"/>
            </a:solidFill>
            <a:ln>
              <a:solidFill>
                <a:srgbClr val="FFFFFF"/>
              </a:solidFill>
            </a:ln>
          </c:spPr>
          <c:invertIfNegative val="0"/>
          <c:cat>
            <c:strRef>
              <c:f>'U10m pots and traps'!$C$161:$E$161</c:f>
              <c:strCache>
                <c:ptCount val="3"/>
                <c:pt idx="0">
                  <c:v>Most
profitable
quartile</c:v>
                </c:pt>
                <c:pt idx="1">
                  <c:v>Middle 
two quartiles</c:v>
                </c:pt>
                <c:pt idx="2">
                  <c:v>Least
profitable
quartile</c:v>
                </c:pt>
              </c:strCache>
            </c:strRef>
          </c:cat>
          <c:val>
            <c:numRef>
              <c:f>'U10m pots and traps'!$C$165:$E$165</c:f>
              <c:numCache>
                <c:formatCode>0%</c:formatCode>
                <c:ptCount val="3"/>
                <c:pt idx="0">
                  <c:v>3.3194098929753356E-2</c:v>
                </c:pt>
                <c:pt idx="1">
                  <c:v>6.1532845825059017E-2</c:v>
                </c:pt>
                <c:pt idx="2">
                  <c:v>0.18364573060302511</c:v>
                </c:pt>
              </c:numCache>
            </c:numRef>
          </c:val>
          <c:extLst>
            <c:ext xmlns:c16="http://schemas.microsoft.com/office/drawing/2014/chart" uri="{C3380CC4-5D6E-409C-BE32-E72D297353CC}">
              <c16:uniqueId val="{00000003-CE20-4A4E-A65D-38EE53ABE4E7}"/>
            </c:ext>
          </c:extLst>
        </c:ser>
        <c:ser>
          <c:idx val="4"/>
          <c:order val="4"/>
          <c:tx>
            <c:strRef>
              <c:f>'U10m pots and traps'!$B$166</c:f>
              <c:strCache>
                <c:ptCount val="1"/>
                <c:pt idx="0">
                  <c:v>Nephrops</c:v>
                </c:pt>
              </c:strCache>
            </c:strRef>
          </c:tx>
          <c:spPr>
            <a:solidFill>
              <a:srgbClr val="C1D119"/>
            </a:solidFill>
            <a:ln>
              <a:solidFill>
                <a:srgbClr val="FFFFFF"/>
              </a:solidFill>
            </a:ln>
          </c:spPr>
          <c:invertIfNegative val="0"/>
          <c:cat>
            <c:strRef>
              <c:f>'U10m pots and traps'!$C$161:$E$161</c:f>
              <c:strCache>
                <c:ptCount val="3"/>
                <c:pt idx="0">
                  <c:v>Most
profitable
quartile</c:v>
                </c:pt>
                <c:pt idx="1">
                  <c:v>Middle 
two quartiles</c:v>
                </c:pt>
                <c:pt idx="2">
                  <c:v>Least
profitable
quartile</c:v>
                </c:pt>
              </c:strCache>
            </c:strRef>
          </c:cat>
          <c:val>
            <c:numRef>
              <c:f>'U10m pots and traps'!$C$166:$E$166</c:f>
              <c:numCache>
                <c:formatCode>0%</c:formatCode>
                <c:ptCount val="3"/>
                <c:pt idx="0">
                  <c:v>2.3244540178574639E-2</c:v>
                </c:pt>
                <c:pt idx="1">
                  <c:v>5.4570737889332976E-2</c:v>
                </c:pt>
                <c:pt idx="2">
                  <c:v>4.4843868608108975E-2</c:v>
                </c:pt>
              </c:numCache>
            </c:numRef>
          </c:val>
          <c:extLst>
            <c:ext xmlns:c16="http://schemas.microsoft.com/office/drawing/2014/chart" uri="{C3380CC4-5D6E-409C-BE32-E72D297353CC}">
              <c16:uniqueId val="{00000004-CE20-4A4E-A65D-38EE53ABE4E7}"/>
            </c:ext>
          </c:extLst>
        </c:ser>
        <c:ser>
          <c:idx val="5"/>
          <c:order val="5"/>
          <c:tx>
            <c:strRef>
              <c:f>'U10m pots and traps'!$B$167</c:f>
              <c:strCache>
                <c:ptCount val="1"/>
                <c:pt idx="0">
                  <c:v>Others</c:v>
                </c:pt>
              </c:strCache>
            </c:strRef>
          </c:tx>
          <c:spPr>
            <a:solidFill>
              <a:srgbClr val="55585A"/>
            </a:solidFill>
            <a:ln>
              <a:solidFill>
                <a:srgbClr val="FFFFFF"/>
              </a:solidFill>
            </a:ln>
          </c:spPr>
          <c:invertIfNegative val="0"/>
          <c:cat>
            <c:strRef>
              <c:f>'U10m pots and traps'!$C$161:$E$161</c:f>
              <c:strCache>
                <c:ptCount val="3"/>
                <c:pt idx="0">
                  <c:v>Most
profitable
quartile</c:v>
                </c:pt>
                <c:pt idx="1">
                  <c:v>Middle 
two quartiles</c:v>
                </c:pt>
                <c:pt idx="2">
                  <c:v>Least
profitable
quartile</c:v>
                </c:pt>
              </c:strCache>
            </c:strRef>
          </c:cat>
          <c:val>
            <c:numRef>
              <c:f>'U10m pots and traps'!$C$167:$E$167</c:f>
              <c:numCache>
                <c:formatCode>0%</c:formatCode>
                <c:ptCount val="3"/>
                <c:pt idx="0">
                  <c:v>5.8069445598282976E-2</c:v>
                </c:pt>
                <c:pt idx="1">
                  <c:v>7.857573216554381E-2</c:v>
                </c:pt>
                <c:pt idx="2">
                  <c:v>0.12871028716077093</c:v>
                </c:pt>
              </c:numCache>
            </c:numRef>
          </c:val>
          <c:extLst>
            <c:ext xmlns:c16="http://schemas.microsoft.com/office/drawing/2014/chart" uri="{C3380CC4-5D6E-409C-BE32-E72D297353CC}">
              <c16:uniqueId val="{00000005-CE20-4A4E-A65D-38EE53ABE4E7}"/>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'U10m pots and traps'!$H$162</c:f>
              <c:strCache>
                <c:ptCount val="1"/>
                <c:pt idx="0">
                  <c:v>Lobsters</c:v>
                </c:pt>
              </c:strCache>
            </c:strRef>
          </c:tx>
          <c:spPr>
            <a:solidFill>
              <a:srgbClr val="2273B9"/>
            </a:solidFill>
            <a:ln>
              <a:solidFill>
                <a:srgbClr val="FFFFFF"/>
              </a:solidFill>
            </a:ln>
          </c:spPr>
          <c:invertIfNegative val="0"/>
          <c:cat>
            <c:strRef>
              <c:f>'U10m pots and traps'!$I$161:$K$161</c:f>
              <c:strCache>
                <c:ptCount val="3"/>
                <c:pt idx="0">
                  <c:v>Most
profitable
quartile</c:v>
                </c:pt>
                <c:pt idx="1">
                  <c:v>Middle 
two quartiles</c:v>
                </c:pt>
                <c:pt idx="2">
                  <c:v>Least
profitable
quartile</c:v>
                </c:pt>
              </c:strCache>
            </c:strRef>
          </c:cat>
          <c:val>
            <c:numRef>
              <c:f>'U10m pots and traps'!$I$162:$K$162</c:f>
              <c:numCache>
                <c:formatCode>0%</c:formatCode>
                <c:ptCount val="3"/>
                <c:pt idx="0">
                  <c:v>0.28525227572996525</c:v>
                </c:pt>
                <c:pt idx="1">
                  <c:v>0.37391540652982497</c:v>
                </c:pt>
                <c:pt idx="2">
                  <c:v>0.36813733230565748</c:v>
                </c:pt>
              </c:numCache>
            </c:numRef>
          </c:val>
          <c:extLst>
            <c:ext xmlns:c16="http://schemas.microsoft.com/office/drawing/2014/chart" uri="{C3380CC4-5D6E-409C-BE32-E72D297353CC}">
              <c16:uniqueId val="{00000000-D5C4-4DED-90C8-57252AA05A7F}"/>
            </c:ext>
          </c:extLst>
        </c:ser>
        <c:ser>
          <c:idx val="1"/>
          <c:order val="1"/>
          <c:tx>
            <c:strRef>
              <c:f>'U10m pots and traps'!$H$163</c:f>
              <c:strCache>
                <c:ptCount val="1"/>
                <c:pt idx="0">
                  <c:v>Brown Crab</c:v>
                </c:pt>
              </c:strCache>
            </c:strRef>
          </c:tx>
          <c:spPr>
            <a:solidFill>
              <a:srgbClr val="E87308"/>
            </a:solidFill>
            <a:ln>
              <a:solidFill>
                <a:srgbClr val="FFFFFF"/>
              </a:solidFill>
            </a:ln>
          </c:spPr>
          <c:invertIfNegative val="0"/>
          <c:cat>
            <c:strRef>
              <c:f>'U10m pots and traps'!$I$161:$K$161</c:f>
              <c:strCache>
                <c:ptCount val="3"/>
                <c:pt idx="0">
                  <c:v>Most
profitable
quartile</c:v>
                </c:pt>
                <c:pt idx="1">
                  <c:v>Middle 
two quartiles</c:v>
                </c:pt>
                <c:pt idx="2">
                  <c:v>Least
profitable
quartile</c:v>
                </c:pt>
              </c:strCache>
            </c:strRef>
          </c:cat>
          <c:val>
            <c:numRef>
              <c:f>'U10m pots and traps'!$I$163:$K$163</c:f>
              <c:numCache>
                <c:formatCode>0%</c:formatCode>
                <c:ptCount val="3"/>
                <c:pt idx="0">
                  <c:v>0.23431838734228091</c:v>
                </c:pt>
                <c:pt idx="1">
                  <c:v>0.2767814868878673</c:v>
                </c:pt>
                <c:pt idx="2">
                  <c:v>0.24330173699106725</c:v>
                </c:pt>
              </c:numCache>
            </c:numRef>
          </c:val>
          <c:extLst>
            <c:ext xmlns:c16="http://schemas.microsoft.com/office/drawing/2014/chart" uri="{C3380CC4-5D6E-409C-BE32-E72D297353CC}">
              <c16:uniqueId val="{00000001-D5C4-4DED-90C8-57252AA05A7F}"/>
            </c:ext>
          </c:extLst>
        </c:ser>
        <c:ser>
          <c:idx val="2"/>
          <c:order val="2"/>
          <c:tx>
            <c:strRef>
              <c:f>'U10m pots and traps'!$H$164</c:f>
              <c:strCache>
                <c:ptCount val="1"/>
                <c:pt idx="0">
                  <c:v>Nephrops</c:v>
                </c:pt>
              </c:strCache>
            </c:strRef>
          </c:tx>
          <c:spPr>
            <a:solidFill>
              <a:srgbClr val="C1D119"/>
            </a:solidFill>
            <a:ln>
              <a:solidFill>
                <a:srgbClr val="FFFFFF"/>
              </a:solidFill>
            </a:ln>
          </c:spPr>
          <c:invertIfNegative val="0"/>
          <c:cat>
            <c:strRef>
              <c:f>'U10m pots and traps'!$I$161:$K$161</c:f>
              <c:strCache>
                <c:ptCount val="3"/>
                <c:pt idx="0">
                  <c:v>Most
profitable
quartile</c:v>
                </c:pt>
                <c:pt idx="1">
                  <c:v>Middle 
two quartiles</c:v>
                </c:pt>
                <c:pt idx="2">
                  <c:v>Least
profitable
quartile</c:v>
                </c:pt>
              </c:strCache>
            </c:strRef>
          </c:cat>
          <c:val>
            <c:numRef>
              <c:f>'U10m pots and traps'!$I$164:$K$164</c:f>
              <c:numCache>
                <c:formatCode>0%</c:formatCode>
                <c:ptCount val="3"/>
                <c:pt idx="0">
                  <c:v>8.1513288274806417E-2</c:v>
                </c:pt>
                <c:pt idx="1">
                  <c:v>0.15562291198227837</c:v>
                </c:pt>
                <c:pt idx="2">
                  <c:v>0.12559066607674321</c:v>
                </c:pt>
              </c:numCache>
            </c:numRef>
          </c:val>
          <c:extLst>
            <c:ext xmlns:c16="http://schemas.microsoft.com/office/drawing/2014/chart" uri="{C3380CC4-5D6E-409C-BE32-E72D297353CC}">
              <c16:uniqueId val="{00000002-D5C4-4DED-90C8-57252AA05A7F}"/>
            </c:ext>
          </c:extLst>
        </c:ser>
        <c:ser>
          <c:idx val="3"/>
          <c:order val="3"/>
          <c:tx>
            <c:strRef>
              <c:f>'U10m pots and traps'!$H$165</c:f>
              <c:strCache>
                <c:ptCount val="1"/>
                <c:pt idx="0">
                  <c:v>Whelks</c:v>
                </c:pt>
              </c:strCache>
            </c:strRef>
          </c:tx>
          <c:spPr>
            <a:solidFill>
              <a:srgbClr val="648C2E"/>
            </a:solidFill>
            <a:ln>
              <a:solidFill>
                <a:srgbClr val="FFFFFF"/>
              </a:solidFill>
            </a:ln>
          </c:spPr>
          <c:invertIfNegative val="0"/>
          <c:cat>
            <c:strRef>
              <c:f>'U10m pots and traps'!$I$161:$K$161</c:f>
              <c:strCache>
                <c:ptCount val="3"/>
                <c:pt idx="0">
                  <c:v>Most
profitable
quartile</c:v>
                </c:pt>
                <c:pt idx="1">
                  <c:v>Middle 
two quartiles</c:v>
                </c:pt>
                <c:pt idx="2">
                  <c:v>Least
profitable
quartile</c:v>
                </c:pt>
              </c:strCache>
            </c:strRef>
          </c:cat>
          <c:val>
            <c:numRef>
              <c:f>'U10m pots and traps'!$I$165:$K$165</c:f>
              <c:numCache>
                <c:formatCode>0%</c:formatCode>
                <c:ptCount val="3"/>
                <c:pt idx="0">
                  <c:v>0.18294240714294877</c:v>
                </c:pt>
                <c:pt idx="1">
                  <c:v>0.11198112442783702</c:v>
                </c:pt>
                <c:pt idx="2">
                  <c:v>5.8735980849375133E-2</c:v>
                </c:pt>
              </c:numCache>
            </c:numRef>
          </c:val>
          <c:extLst>
            <c:ext xmlns:c16="http://schemas.microsoft.com/office/drawing/2014/chart" uri="{C3380CC4-5D6E-409C-BE32-E72D297353CC}">
              <c16:uniqueId val="{00000003-D5C4-4DED-90C8-57252AA05A7F}"/>
            </c:ext>
          </c:extLst>
        </c:ser>
        <c:ser>
          <c:idx val="4"/>
          <c:order val="4"/>
          <c:tx>
            <c:strRef>
              <c:f>'U10m pots and traps'!$H$166</c:f>
              <c:strCache>
                <c:ptCount val="1"/>
                <c:pt idx="0">
                  <c:v>Velvet Crab</c:v>
                </c:pt>
              </c:strCache>
            </c:strRef>
          </c:tx>
          <c:spPr>
            <a:solidFill>
              <a:srgbClr val="E84A38"/>
            </a:solidFill>
            <a:ln>
              <a:solidFill>
                <a:srgbClr val="FFFFFF"/>
              </a:solidFill>
            </a:ln>
          </c:spPr>
          <c:invertIfNegative val="0"/>
          <c:cat>
            <c:strRef>
              <c:f>'U10m pots and traps'!$I$161:$K$161</c:f>
              <c:strCache>
                <c:ptCount val="3"/>
                <c:pt idx="0">
                  <c:v>Most
profitable
quartile</c:v>
                </c:pt>
                <c:pt idx="1">
                  <c:v>Middle 
two quartiles</c:v>
                </c:pt>
                <c:pt idx="2">
                  <c:v>Least
profitable
quartile</c:v>
                </c:pt>
              </c:strCache>
            </c:strRef>
          </c:cat>
          <c:val>
            <c:numRef>
              <c:f>'U10m pots and traps'!$I$166:$K$166</c:f>
              <c:numCache>
                <c:formatCode>0%</c:formatCode>
                <c:ptCount val="3"/>
                <c:pt idx="0">
                  <c:v>0</c:v>
                </c:pt>
                <c:pt idx="1">
                  <c:v>4.9062320741958737E-2</c:v>
                </c:pt>
                <c:pt idx="2">
                  <c:v>0.14072956386833449</c:v>
                </c:pt>
              </c:numCache>
            </c:numRef>
          </c:val>
          <c:extLst>
            <c:ext xmlns:c16="http://schemas.microsoft.com/office/drawing/2014/chart" uri="{C3380CC4-5D6E-409C-BE32-E72D297353CC}">
              <c16:uniqueId val="{00000004-D5C4-4DED-90C8-57252AA05A7F}"/>
            </c:ext>
          </c:extLst>
        </c:ser>
        <c:ser>
          <c:idx val="5"/>
          <c:order val="5"/>
          <c:tx>
            <c:strRef>
              <c:f>'U10m pots and traps'!$H$167</c:f>
              <c:strCache>
                <c:ptCount val="1"/>
                <c:pt idx="0">
                  <c:v>Others</c:v>
                </c:pt>
              </c:strCache>
            </c:strRef>
          </c:tx>
          <c:spPr>
            <a:solidFill>
              <a:srgbClr val="55585A"/>
            </a:solidFill>
            <a:ln>
              <a:solidFill>
                <a:srgbClr val="FFFFFF"/>
              </a:solidFill>
            </a:ln>
          </c:spPr>
          <c:invertIfNegative val="0"/>
          <c:cat>
            <c:strRef>
              <c:f>'U10m pots and traps'!$I$161:$K$161</c:f>
              <c:strCache>
                <c:ptCount val="3"/>
                <c:pt idx="0">
                  <c:v>Most
profitable
quartile</c:v>
                </c:pt>
                <c:pt idx="1">
                  <c:v>Middle 
two quartiles</c:v>
                </c:pt>
                <c:pt idx="2">
                  <c:v>Least
profitable
quartile</c:v>
                </c:pt>
              </c:strCache>
            </c:strRef>
          </c:cat>
          <c:val>
            <c:numRef>
              <c:f>'U10m pots and traps'!$I$167:$K$167</c:f>
              <c:numCache>
                <c:formatCode>0%</c:formatCode>
                <c:ptCount val="3"/>
                <c:pt idx="0">
                  <c:v>0.14711097069663626</c:v>
                </c:pt>
                <c:pt idx="1">
                  <c:v>3.2636749430233647E-2</c:v>
                </c:pt>
                <c:pt idx="2">
                  <c:v>6.3504719908822449E-2</c:v>
                </c:pt>
              </c:numCache>
            </c:numRef>
          </c:val>
          <c:extLst>
            <c:ext xmlns:c16="http://schemas.microsoft.com/office/drawing/2014/chart" uri="{C3380CC4-5D6E-409C-BE32-E72D297353CC}">
              <c16:uniqueId val="{00000005-D5C4-4DED-90C8-57252AA05A7F}"/>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'U10m pots and traps'!$K$139</c:f>
              <c:strCache>
                <c:ptCount val="1"/>
                <c:pt idx="0">
                  <c:v>Total income</c:v>
                </c:pt>
              </c:strCache>
            </c:strRef>
          </c:tx>
          <c:spPr>
            <a:solidFill>
              <a:srgbClr val="087CBB"/>
            </a:solidFill>
            <a:ln>
              <a:solidFill>
                <a:schemeClr val="accent1"/>
              </a:solidFill>
            </a:ln>
          </c:spPr>
          <c:invertIfNegative val="0"/>
          <c:cat>
            <c:strRef>
              <c:f>'U10m pots and traps'!$L$138:$N$138</c:f>
              <c:strCache>
                <c:ptCount val="3"/>
                <c:pt idx="0">
                  <c:v>Most
profitable
quartile</c:v>
                </c:pt>
                <c:pt idx="1">
                  <c:v>Middle
two quartiles</c:v>
                </c:pt>
                <c:pt idx="2">
                  <c:v>Least
profitable
quartile</c:v>
                </c:pt>
              </c:strCache>
            </c:strRef>
          </c:cat>
          <c:val>
            <c:numRef>
              <c:f>'U10m pots and traps'!$L$139:$N$139</c:f>
              <c:numCache>
                <c:formatCode>#,##0</c:formatCode>
                <c:ptCount val="3"/>
                <c:pt idx="0">
                  <c:v>136.00039062499999</c:v>
                </c:pt>
                <c:pt idx="1">
                  <c:v>74.858677734374993</c:v>
                </c:pt>
                <c:pt idx="2">
                  <c:v>34.8695234375</c:v>
                </c:pt>
              </c:numCache>
            </c:numRef>
          </c:val>
          <c:extLst>
            <c:ext xmlns:c16="http://schemas.microsoft.com/office/drawing/2014/chart" uri="{C3380CC4-5D6E-409C-BE32-E72D297353CC}">
              <c16:uniqueId val="{00000000-93E2-4E66-80AA-FEBC5A4E541F}"/>
            </c:ext>
          </c:extLst>
        </c:ser>
        <c:ser>
          <c:idx val="1"/>
          <c:order val="1"/>
          <c:tx>
            <c:strRef>
              <c:f>'U10m pots and traps'!$K$140</c:f>
              <c:strCache>
                <c:ptCount val="1"/>
                <c:pt idx="0">
                  <c:v>Operating costs</c:v>
                </c:pt>
              </c:strCache>
            </c:strRef>
          </c:tx>
          <c:spPr>
            <a:solidFill>
              <a:srgbClr val="E87308"/>
            </a:solidFill>
          </c:spPr>
          <c:invertIfNegative val="0"/>
          <c:cat>
            <c:strRef>
              <c:f>'U10m pots and traps'!$L$138:$N$138</c:f>
              <c:strCache>
                <c:ptCount val="3"/>
                <c:pt idx="0">
                  <c:v>Most
profitable
quartile</c:v>
                </c:pt>
                <c:pt idx="1">
                  <c:v>Middle
two quartiles</c:v>
                </c:pt>
                <c:pt idx="2">
                  <c:v>Least
profitable
quartile</c:v>
                </c:pt>
              </c:strCache>
            </c:strRef>
          </c:cat>
          <c:val>
            <c:numRef>
              <c:f>'U10m pots and traps'!$L$140:$N$140</c:f>
              <c:numCache>
                <c:formatCode>#,##0</c:formatCode>
                <c:ptCount val="3"/>
                <c:pt idx="0">
                  <c:v>97.553289062499999</c:v>
                </c:pt>
                <c:pt idx="1">
                  <c:v>57.795173828125002</c:v>
                </c:pt>
                <c:pt idx="2">
                  <c:v>30.889083984374999</c:v>
                </c:pt>
              </c:numCache>
            </c:numRef>
          </c:val>
          <c:extLst>
            <c:ext xmlns:c16="http://schemas.microsoft.com/office/drawing/2014/chart" uri="{C3380CC4-5D6E-409C-BE32-E72D297353CC}">
              <c16:uniqueId val="{00000001-93E2-4E66-80AA-FEBC5A4E541F}"/>
            </c:ext>
          </c:extLst>
        </c:ser>
        <c:ser>
          <c:idx val="2"/>
          <c:order val="2"/>
          <c:tx>
            <c:strRef>
              <c:f>'U10m pots and traps'!$K$141</c:f>
              <c:strCache>
                <c:ptCount val="1"/>
                <c:pt idx="0">
                  <c:v>Operating profit</c:v>
                </c:pt>
              </c:strCache>
            </c:strRef>
          </c:tx>
          <c:spPr>
            <a:solidFill>
              <a:srgbClr val="51AA81"/>
            </a:solidFill>
          </c:spPr>
          <c:invertIfNegative val="0"/>
          <c:cat>
            <c:strRef>
              <c:f>'U10m pots and traps'!$L$138:$N$138</c:f>
              <c:strCache>
                <c:ptCount val="3"/>
                <c:pt idx="0">
                  <c:v>Most
profitable
quartile</c:v>
                </c:pt>
                <c:pt idx="1">
                  <c:v>Middle
two quartiles</c:v>
                </c:pt>
                <c:pt idx="2">
                  <c:v>Least
profitable
quartile</c:v>
                </c:pt>
              </c:strCache>
            </c:strRef>
          </c:cat>
          <c:val>
            <c:numRef>
              <c:f>'U10m pots and traps'!$L$141:$N$141</c:f>
              <c:numCache>
                <c:formatCode>#,##0</c:formatCode>
                <c:ptCount val="3"/>
                <c:pt idx="0">
                  <c:v>38.447101562500002</c:v>
                </c:pt>
                <c:pt idx="1">
                  <c:v>17.063503906249998</c:v>
                </c:pt>
                <c:pt idx="2">
                  <c:v>3.9804394531249998</c:v>
                </c:pt>
              </c:numCache>
            </c:numRef>
          </c:val>
          <c:extLst>
            <c:ext xmlns:c16="http://schemas.microsoft.com/office/drawing/2014/chart" uri="{C3380CC4-5D6E-409C-BE32-E72D297353CC}">
              <c16:uniqueId val="{00000002-93E2-4E66-80AA-FEBC5A4E541F}"/>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'U10m pots and traps'!$K$142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hooks'!$A$48</c:f>
          <c:strCache>
            <c:ptCount val="1"/>
            <c:pt idx="0">
              <c:v>Landings per kW day at sea (kg)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6E4E-4AA4-B96C-B10AB4F64C2D}"/>
              </c:ext>
            </c:extLst>
          </c:dPt>
          <c:dPt>
            <c:idx val="10"/>
            <c:bubble3D val="0"/>
            <c:spPr>
              <a:ln w="57150">
                <a:solidFill>
                  <a:srgbClr val="2273B9"/>
                </a:solidFill>
                <a:prstDash val="sysDot"/>
              </a:ln>
            </c:spPr>
            <c:extLst>
              <c:ext xmlns:c16="http://schemas.microsoft.com/office/drawing/2014/chart" uri="{C3380CC4-5D6E-409C-BE32-E72D297353CC}">
                <c16:uniqueId val="{00000003-6E4E-4AA4-B96C-B10AB4F64C2D}"/>
              </c:ext>
            </c:extLst>
          </c:dPt>
          <c:cat>
            <c:numRef>
              <c:f>'U10m using hooks'!$D$2:$N$2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'U10m using hooks'!$D$21:$N$21</c:f>
              <c:numCache>
                <c:formatCode>#,##0.00</c:formatCode>
                <c:ptCount val="11"/>
                <c:pt idx="0">
                  <c:v>2.497828059505832</c:v>
                </c:pt>
                <c:pt idx="1">
                  <c:v>2.3669165279351998</c:v>
                </c:pt>
                <c:pt idx="2">
                  <c:v>2.7087423323182365</c:v>
                </c:pt>
                <c:pt idx="3">
                  <c:v>2.5935504710701149</c:v>
                </c:pt>
                <c:pt idx="4">
                  <c:v>2.0713362400375117</c:v>
                </c:pt>
                <c:pt idx="5">
                  <c:v>2.0257278588801708</c:v>
                </c:pt>
                <c:pt idx="6">
                  <c:v>2.6047533309813629</c:v>
                </c:pt>
                <c:pt idx="7">
                  <c:v>3.3041095553220368</c:v>
                </c:pt>
                <c:pt idx="8">
                  <c:v>2.7706038689166812</c:v>
                </c:pt>
                <c:pt idx="9">
                  <c:v>3.0076961558818702</c:v>
                </c:pt>
                <c:pt idx="10">
                  <c:v>3.1434047609130613</c:v>
                </c:pt>
              </c:numCache>
            </c:numRef>
          </c:val>
          <c:smooth val="0"/>
          <c:extLst>
            <c:ext xmlns:c16="http://schemas.microsoft.com/office/drawing/2014/chart" uri="{C3380CC4-5D6E-409C-BE32-E72D297353CC}">
              <c16:uniqueId val="{00000004-6E4E-4AA4-B96C-B10AB4F64C2D}"/>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hooks'!$A$49</c:f>
          <c:strCache>
            <c:ptCount val="1"/>
            <c:pt idx="0">
              <c:v>Fishing income per kW day at sea (£)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06F3-485B-B73C-A721ED171607}"/>
              </c:ext>
            </c:extLst>
          </c:dPt>
          <c:dPt>
            <c:idx val="10"/>
            <c:bubble3D val="0"/>
            <c:spPr>
              <a:ln w="57150">
                <a:solidFill>
                  <a:srgbClr val="648C2E"/>
                </a:solidFill>
                <a:prstDash val="sysDot"/>
              </a:ln>
            </c:spPr>
            <c:extLst>
              <c:ext xmlns:c16="http://schemas.microsoft.com/office/drawing/2014/chart" uri="{C3380CC4-5D6E-409C-BE32-E72D297353CC}">
                <c16:uniqueId val="{00000003-06F3-485B-B73C-A721ED171607}"/>
              </c:ext>
            </c:extLst>
          </c:dPt>
          <c:cat>
            <c:numRef>
              <c:f>'U10m using hooks'!$D$2:$N$2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'U10m using hooks'!$D$22:$N$22</c:f>
              <c:numCache>
                <c:formatCode>#,##0.00</c:formatCode>
                <c:ptCount val="11"/>
                <c:pt idx="0">
                  <c:v>7.7096264958370897</c:v>
                </c:pt>
                <c:pt idx="1">
                  <c:v>7.36666217207864</c:v>
                </c:pt>
                <c:pt idx="2">
                  <c:v>8.8378139204507704</c:v>
                </c:pt>
                <c:pt idx="3">
                  <c:v>8.76432939138477</c:v>
                </c:pt>
                <c:pt idx="4">
                  <c:v>7.4081913848149004</c:v>
                </c:pt>
                <c:pt idx="5">
                  <c:v>7.0578445537072296</c:v>
                </c:pt>
                <c:pt idx="6">
                  <c:v>8.8143696377875393</c:v>
                </c:pt>
                <c:pt idx="7">
                  <c:v>11.6032259465381</c:v>
                </c:pt>
                <c:pt idx="8">
                  <c:v>11.473163543596399</c:v>
                </c:pt>
                <c:pt idx="9">
                  <c:v>12.8552156625446</c:v>
                </c:pt>
                <c:pt idx="10">
                  <c:v>10.990116074783767</c:v>
                </c:pt>
              </c:numCache>
            </c:numRef>
          </c:val>
          <c:smooth val="0"/>
          <c:extLst>
            <c:ext xmlns:c16="http://schemas.microsoft.com/office/drawing/2014/chart" uri="{C3380CC4-5D6E-409C-BE32-E72D297353CC}">
              <c16:uniqueId val="{00000004-06F3-485B-B73C-A721ED171607}"/>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hooks'!$B$62</c:f>
          <c:strCache>
            <c:ptCount val="1"/>
            <c:pt idx="0">
              <c:v>Total cost per kW day at sea (£)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3D4C-4E06-9A65-18C8E611630D}"/>
              </c:ext>
            </c:extLst>
          </c:dPt>
          <c:dPt>
            <c:idx val="10"/>
            <c:bubble3D val="0"/>
            <c:spPr>
              <a:ln w="57150">
                <a:solidFill>
                  <a:srgbClr val="087CBB"/>
                </a:solidFill>
                <a:prstDash val="sysDot"/>
              </a:ln>
            </c:spPr>
            <c:extLst>
              <c:ext xmlns:c16="http://schemas.microsoft.com/office/drawing/2014/chart" uri="{C3380CC4-5D6E-409C-BE32-E72D297353CC}">
                <c16:uniqueId val="{00000003-3D4C-4E06-9A65-18C8E611630D}"/>
              </c:ext>
            </c:extLst>
          </c:dPt>
          <c:cat>
            <c:numRef>
              <c:f>'U10m using hooks'!$D$2:$N$2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'U10m using hooks'!$D$23:$N$23</c:f>
              <c:numCache>
                <c:formatCode>#,##0.00</c:formatCode>
                <c:ptCount val="11"/>
                <c:pt idx="0">
                  <c:v>6.2803355529598699</c:v>
                </c:pt>
                <c:pt idx="1">
                  <c:v>6.9773009731895597</c:v>
                </c:pt>
                <c:pt idx="2">
                  <c:v>7.3940951388100604</c:v>
                </c:pt>
                <c:pt idx="3">
                  <c:v>7.1926046839252002</c:v>
                </c:pt>
                <c:pt idx="4">
                  <c:v>5.4898349289811303</c:v>
                </c:pt>
                <c:pt idx="5">
                  <c:v>4.79061974347358</c:v>
                </c:pt>
                <c:pt idx="6">
                  <c:v>5.6148462112731501</c:v>
                </c:pt>
                <c:pt idx="7">
                  <c:v>8.5146992453058399</c:v>
                </c:pt>
                <c:pt idx="8">
                  <c:v>8.6046735828447094</c:v>
                </c:pt>
                <c:pt idx="9">
                  <c:v>9.22163821102356</c:v>
                </c:pt>
                <c:pt idx="10">
                  <c:v>8.4727543389726616</c:v>
                </c:pt>
              </c:numCache>
            </c:numRef>
          </c:val>
          <c:smooth val="0"/>
          <c:extLst>
            <c:ext xmlns:c16="http://schemas.microsoft.com/office/drawing/2014/chart" uri="{C3380CC4-5D6E-409C-BE32-E72D297353CC}">
              <c16:uniqueId val="{00000004-3D4C-4E06-9A65-18C8E611630D}"/>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'Area VIIa nephrops u250kW'!$B$162</c:f>
              <c:strCache>
                <c:ptCount val="1"/>
                <c:pt idx="0">
                  <c:v>Nephrops</c:v>
                </c:pt>
              </c:strCache>
            </c:strRef>
          </c:tx>
          <c:spPr>
            <a:solidFill>
              <a:srgbClr val="2273B9"/>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u250kW'!$C$162:$E$162</c:f>
              <c:numCache>
                <c:formatCode>0%</c:formatCode>
                <c:ptCount val="3"/>
                <c:pt idx="0">
                  <c:v>0.81509779712987529</c:v>
                </c:pt>
                <c:pt idx="1">
                  <c:v>0.80862262596062462</c:v>
                </c:pt>
                <c:pt idx="2">
                  <c:v>0.734312410008503</c:v>
                </c:pt>
              </c:numCache>
            </c:numRef>
          </c:val>
          <c:extLst>
            <c:ext xmlns:c16="http://schemas.microsoft.com/office/drawing/2014/chart" uri="{C3380CC4-5D6E-409C-BE32-E72D297353CC}">
              <c16:uniqueId val="{00000000-2CDB-4212-B051-06B2BD790A99}"/>
            </c:ext>
          </c:extLst>
        </c:ser>
        <c:ser>
          <c:idx val="1"/>
          <c:order val="1"/>
          <c:tx>
            <c:strRef>
              <c:f>'Area VIIa nephrops u250kW'!$B$163</c:f>
              <c:strCache>
                <c:ptCount val="1"/>
                <c:pt idx="0">
                  <c:v>Scallops</c:v>
                </c:pt>
              </c:strCache>
            </c:strRef>
          </c:tx>
          <c:spPr>
            <a:solidFill>
              <a:srgbClr val="E87308"/>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u250kW'!$C$163:$E$163</c:f>
              <c:numCache>
                <c:formatCode>0%</c:formatCode>
                <c:ptCount val="3"/>
                <c:pt idx="0">
                  <c:v>3.7466339477142771E-2</c:v>
                </c:pt>
                <c:pt idx="1">
                  <c:v>8.2176797717205943E-2</c:v>
                </c:pt>
                <c:pt idx="2">
                  <c:v>0.13907412622082099</c:v>
                </c:pt>
              </c:numCache>
            </c:numRef>
          </c:val>
          <c:extLst>
            <c:ext xmlns:c16="http://schemas.microsoft.com/office/drawing/2014/chart" uri="{C3380CC4-5D6E-409C-BE32-E72D297353CC}">
              <c16:uniqueId val="{00000001-2CDB-4212-B051-06B2BD790A99}"/>
            </c:ext>
          </c:extLst>
        </c:ser>
        <c:ser>
          <c:idx val="2"/>
          <c:order val="2"/>
          <c:tx>
            <c:strRef>
              <c:f>'Area VIIa nephrops u250kW'!$B$164</c:f>
              <c:strCache>
                <c:ptCount val="1"/>
                <c:pt idx="0">
                  <c:v>Les. Spot. Dog</c:v>
                </c:pt>
              </c:strCache>
            </c:strRef>
          </c:tx>
          <c:spPr>
            <a:solidFill>
              <a:srgbClr val="0F9AA9"/>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u250kW'!$C$164:$E$164</c:f>
              <c:numCache>
                <c:formatCode>0%</c:formatCode>
                <c:ptCount val="3"/>
                <c:pt idx="0">
                  <c:v>4.4800344352147581E-2</c:v>
                </c:pt>
                <c:pt idx="1">
                  <c:v>2.6923175398652695E-2</c:v>
                </c:pt>
                <c:pt idx="2">
                  <c:v>3.310219522607262E-2</c:v>
                </c:pt>
              </c:numCache>
            </c:numRef>
          </c:val>
          <c:extLst>
            <c:ext xmlns:c16="http://schemas.microsoft.com/office/drawing/2014/chart" uri="{C3380CC4-5D6E-409C-BE32-E72D297353CC}">
              <c16:uniqueId val="{00000002-2CDB-4212-B051-06B2BD790A99}"/>
            </c:ext>
          </c:extLst>
        </c:ser>
        <c:ser>
          <c:idx val="3"/>
          <c:order val="3"/>
          <c:tx>
            <c:strRef>
              <c:f>'Area VIIa nephrops u250kW'!$B$165</c:f>
              <c:strCache>
                <c:ptCount val="1"/>
                <c:pt idx="0">
                  <c:v>Haddock</c:v>
                </c:pt>
              </c:strCache>
            </c:strRef>
          </c:tx>
          <c:spPr>
            <a:solidFill>
              <a:srgbClr val="C1D119"/>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u250kW'!$C$165:$E$165</c:f>
              <c:numCache>
                <c:formatCode>0%</c:formatCode>
                <c:ptCount val="3"/>
                <c:pt idx="0">
                  <c:v>2.4331705359364523E-2</c:v>
                </c:pt>
                <c:pt idx="1">
                  <c:v>2.1373842299956307E-2</c:v>
                </c:pt>
                <c:pt idx="2">
                  <c:v>0</c:v>
                </c:pt>
              </c:numCache>
            </c:numRef>
          </c:val>
          <c:extLst>
            <c:ext xmlns:c16="http://schemas.microsoft.com/office/drawing/2014/chart" uri="{C3380CC4-5D6E-409C-BE32-E72D297353CC}">
              <c16:uniqueId val="{00000003-2CDB-4212-B051-06B2BD790A99}"/>
            </c:ext>
          </c:extLst>
        </c:ser>
        <c:ser>
          <c:idx val="4"/>
          <c:order val="4"/>
          <c:tx>
            <c:strRef>
              <c:f>'Area VIIa nephrops u250kW'!$B$166</c:f>
              <c:strCache>
                <c:ptCount val="1"/>
                <c:pt idx="0">
                  <c:v>Thornback Ray</c:v>
                </c:pt>
              </c:strCache>
            </c:strRef>
          </c:tx>
          <c:spPr>
            <a:solidFill>
              <a:srgbClr val="FED825"/>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u250kW'!$C$166:$E$166</c:f>
              <c:numCache>
                <c:formatCode>0%</c:formatCode>
                <c:ptCount val="3"/>
                <c:pt idx="0">
                  <c:v>0</c:v>
                </c:pt>
                <c:pt idx="1">
                  <c:v>1.5172820137449606E-2</c:v>
                </c:pt>
                <c:pt idx="2">
                  <c:v>0</c:v>
                </c:pt>
              </c:numCache>
            </c:numRef>
          </c:val>
          <c:extLst>
            <c:ext xmlns:c16="http://schemas.microsoft.com/office/drawing/2014/chart" uri="{C3380CC4-5D6E-409C-BE32-E72D297353CC}">
              <c16:uniqueId val="{00000004-2CDB-4212-B051-06B2BD790A99}"/>
            </c:ext>
          </c:extLst>
        </c:ser>
        <c:ser>
          <c:idx val="5"/>
          <c:order val="5"/>
          <c:tx>
            <c:strRef>
              <c:f>'Area VIIa nephrops u250kW'!$B$167</c:f>
              <c:strCache>
                <c:ptCount val="1"/>
                <c:pt idx="0">
                  <c:v>Queen Scallops</c:v>
                </c:pt>
              </c:strCache>
            </c:strRef>
          </c:tx>
          <c:spPr>
            <a:solidFill>
              <a:srgbClr val="51AA81"/>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u250kW'!$C$167:$E$167</c:f>
              <c:numCache>
                <c:formatCode>0%</c:formatCode>
                <c:ptCount val="3"/>
                <c:pt idx="0">
                  <c:v>0</c:v>
                </c:pt>
                <c:pt idx="1">
                  <c:v>0</c:v>
                </c:pt>
                <c:pt idx="2">
                  <c:v>2.4195782987037392E-2</c:v>
                </c:pt>
              </c:numCache>
            </c:numRef>
          </c:val>
          <c:extLst>
            <c:ext xmlns:c16="http://schemas.microsoft.com/office/drawing/2014/chart" uri="{C3380CC4-5D6E-409C-BE32-E72D297353CC}">
              <c16:uniqueId val="{00000005-2CDB-4212-B051-06B2BD790A99}"/>
            </c:ext>
          </c:extLst>
        </c:ser>
        <c:ser>
          <c:idx val="6"/>
          <c:order val="6"/>
          <c:tx>
            <c:strRef>
              <c:f>'Area VIIa nephrops u250kW'!$B$168</c:f>
              <c:strCache>
                <c:ptCount val="1"/>
                <c:pt idx="0">
                  <c:v>Anglerfish</c:v>
                </c:pt>
              </c:strCache>
            </c:strRef>
          </c:tx>
          <c:spPr>
            <a:solidFill>
              <a:srgbClr val="648C2E"/>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u250kW'!$C$168:$E$168</c:f>
              <c:numCache>
                <c:formatCode>0%</c:formatCode>
                <c:ptCount val="3"/>
                <c:pt idx="0">
                  <c:v>1.5805879374369107E-2</c:v>
                </c:pt>
                <c:pt idx="1">
                  <c:v>0</c:v>
                </c:pt>
                <c:pt idx="2">
                  <c:v>1.9747102686660106E-2</c:v>
                </c:pt>
              </c:numCache>
            </c:numRef>
          </c:val>
          <c:extLst>
            <c:ext xmlns:c16="http://schemas.microsoft.com/office/drawing/2014/chart" uri="{C3380CC4-5D6E-409C-BE32-E72D297353CC}">
              <c16:uniqueId val="{00000006-2CDB-4212-B051-06B2BD790A99}"/>
            </c:ext>
          </c:extLst>
        </c:ser>
        <c:ser>
          <c:idx val="7"/>
          <c:order val="7"/>
          <c:tx>
            <c:strRef>
              <c:f>'Area VIIa nephrops u250kW'!$B$169</c:f>
              <c:strCache>
                <c:ptCount val="1"/>
                <c:pt idx="0">
                  <c:v>Others</c:v>
                </c:pt>
              </c:strCache>
            </c:strRef>
          </c:tx>
          <c:spPr>
            <a:solidFill>
              <a:srgbClr val="55585A"/>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u250kW'!$C$169:$E$169</c:f>
              <c:numCache>
                <c:formatCode>0%</c:formatCode>
                <c:ptCount val="3"/>
                <c:pt idx="0">
                  <c:v>6.2497934307100822E-2</c:v>
                </c:pt>
                <c:pt idx="1">
                  <c:v>4.5730738486110756E-2</c:v>
                </c:pt>
                <c:pt idx="2">
                  <c:v>4.9568382870905814E-2</c:v>
                </c:pt>
              </c:numCache>
            </c:numRef>
          </c:val>
          <c:extLst>
            <c:ext xmlns:c16="http://schemas.microsoft.com/office/drawing/2014/chart" uri="{C3380CC4-5D6E-409C-BE32-E72D297353CC}">
              <c16:uniqueId val="{00000007-2CDB-4212-B051-06B2BD790A99}"/>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hooks'!$K$48</c:f>
          <c:strCache>
            <c:ptCount val="1"/>
            <c:pt idx="0">
              <c:v>Operating profit per kW day at sea (£)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14D7-41A4-958B-3BF9AE9BC60D}"/>
              </c:ext>
            </c:extLst>
          </c:dPt>
          <c:dPt>
            <c:idx val="10"/>
            <c:bubble3D val="0"/>
            <c:spPr>
              <a:ln w="57150">
                <a:solidFill>
                  <a:schemeClr val="accent3"/>
                </a:solidFill>
                <a:prstDash val="sysDot"/>
              </a:ln>
            </c:spPr>
            <c:extLst>
              <c:ext xmlns:c16="http://schemas.microsoft.com/office/drawing/2014/chart" uri="{C3380CC4-5D6E-409C-BE32-E72D297353CC}">
                <c16:uniqueId val="{00000003-14D7-41A4-958B-3BF9AE9BC60D}"/>
              </c:ext>
            </c:extLst>
          </c:dPt>
          <c:cat>
            <c:numRef>
              <c:f>'U10m using hooks'!$D$2:$N$2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'U10m using hooks'!$D$24:$N$24</c:f>
              <c:numCache>
                <c:formatCode>#,##0.00</c:formatCode>
                <c:ptCount val="11"/>
                <c:pt idx="0">
                  <c:v>1.7076052442957399</c:v>
                </c:pt>
                <c:pt idx="1">
                  <c:v>0.50679385905773</c:v>
                </c:pt>
                <c:pt idx="2">
                  <c:v>1.6395820607448499</c:v>
                </c:pt>
                <c:pt idx="3">
                  <c:v>2.8763380425067901</c:v>
                </c:pt>
                <c:pt idx="4">
                  <c:v>2.1737781148967401</c:v>
                </c:pt>
                <c:pt idx="5">
                  <c:v>2.3414449209621502</c:v>
                </c:pt>
                <c:pt idx="6">
                  <c:v>3.2606154563099601</c:v>
                </c:pt>
                <c:pt idx="7">
                  <c:v>3.77908111516872</c:v>
                </c:pt>
                <c:pt idx="8">
                  <c:v>3.0210781968809899</c:v>
                </c:pt>
                <c:pt idx="9">
                  <c:v>3.8661933922131402</c:v>
                </c:pt>
                <c:pt idx="10">
                  <c:v>3.628655685148408</c:v>
                </c:pt>
              </c:numCache>
            </c:numRef>
          </c:val>
          <c:smooth val="0"/>
          <c:extLst>
            <c:ext xmlns:c16="http://schemas.microsoft.com/office/drawing/2014/chart" uri="{C3380CC4-5D6E-409C-BE32-E72D297353CC}">
              <c16:uniqueId val="{00000004-14D7-41A4-958B-3BF9AE9BC60D}"/>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hooks'!$A$50</c:f>
          <c:strCache>
            <c:ptCount val="1"/>
            <c:pt idx="0">
              <c:v>Average price per tonne landed (£)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F213-4444-8B1A-90017943968B}"/>
              </c:ext>
            </c:extLst>
          </c:dPt>
          <c:dPt>
            <c:idx val="10"/>
            <c:bubble3D val="0"/>
            <c:spPr>
              <a:ln w="57150">
                <a:solidFill>
                  <a:schemeClr val="accent4"/>
                </a:solidFill>
                <a:prstDash val="sysDot"/>
              </a:ln>
            </c:spPr>
            <c:extLst>
              <c:ext xmlns:c16="http://schemas.microsoft.com/office/drawing/2014/chart" uri="{C3380CC4-5D6E-409C-BE32-E72D297353CC}">
                <c16:uniqueId val="{00000003-F213-4444-8B1A-90017943968B}"/>
              </c:ext>
            </c:extLst>
          </c:dPt>
          <c:cat>
            <c:numRef>
              <c:f>'U10m using hooks'!$D$2:$M$2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'U10m using hooks'!$D$20:$N$20</c:f>
              <c:numCache>
                <c:formatCode>#,##0</c:formatCode>
                <c:ptCount val="11"/>
                <c:pt idx="0">
                  <c:v>3087</c:v>
                </c:pt>
                <c:pt idx="1">
                  <c:v>3112</c:v>
                </c:pt>
                <c:pt idx="2">
                  <c:v>3263</c:v>
                </c:pt>
                <c:pt idx="3">
                  <c:v>3379</c:v>
                </c:pt>
                <c:pt idx="4">
                  <c:v>3577</c:v>
                </c:pt>
                <c:pt idx="5">
                  <c:v>3484</c:v>
                </c:pt>
                <c:pt idx="6">
                  <c:v>3384</c:v>
                </c:pt>
                <c:pt idx="7">
                  <c:v>3512</c:v>
                </c:pt>
                <c:pt idx="8">
                  <c:v>4141</c:v>
                </c:pt>
                <c:pt idx="9">
                  <c:v>4274</c:v>
                </c:pt>
                <c:pt idx="10">
                  <c:v>3496</c:v>
                </c:pt>
              </c:numCache>
            </c:numRef>
          </c:val>
          <c:smooth val="0"/>
          <c:extLst>
            <c:ext xmlns:c16="http://schemas.microsoft.com/office/drawing/2014/chart" uri="{C3380CC4-5D6E-409C-BE32-E72D297353CC}">
              <c16:uniqueId val="{00000004-F213-4444-8B1A-90017943968B}"/>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hooks'!$K$62</c:f>
          <c:strCache>
            <c:ptCount val="1"/>
            <c:pt idx="0">
              <c:v>Average annual operating profit per vessel (£'000)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96B4-4467-81C8-4B70729A25D9}"/>
              </c:ext>
            </c:extLst>
          </c:dPt>
          <c:dPt>
            <c:idx val="10"/>
            <c:bubble3D val="0"/>
            <c:spPr>
              <a:ln w="57150">
                <a:solidFill>
                  <a:schemeClr val="accent5"/>
                </a:solidFill>
                <a:prstDash val="sysDot"/>
              </a:ln>
            </c:spPr>
            <c:extLst>
              <c:ext xmlns:c16="http://schemas.microsoft.com/office/drawing/2014/chart" uri="{C3380CC4-5D6E-409C-BE32-E72D297353CC}">
                <c16:uniqueId val="{00000003-96B4-4467-81C8-4B70729A25D9}"/>
              </c:ext>
            </c:extLst>
          </c:dPt>
          <c:cat>
            <c:numRef>
              <c:f>'U10m using hooks'!$D$2:$M$2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'U10m using hooks'!$D$37:$N$37</c:f>
              <c:numCache>
                <c:formatCode>#,##0.0</c:formatCode>
                <c:ptCount val="11"/>
                <c:pt idx="0">
                  <c:v>9.1</c:v>
                </c:pt>
                <c:pt idx="1">
                  <c:v>2.8</c:v>
                </c:pt>
                <c:pt idx="2">
                  <c:v>8.4</c:v>
                </c:pt>
                <c:pt idx="3">
                  <c:v>13</c:v>
                </c:pt>
                <c:pt idx="4">
                  <c:v>10.5</c:v>
                </c:pt>
                <c:pt idx="5">
                  <c:v>14.4</c:v>
                </c:pt>
                <c:pt idx="6">
                  <c:v>16.5</c:v>
                </c:pt>
                <c:pt idx="7">
                  <c:v>13.9</c:v>
                </c:pt>
                <c:pt idx="8">
                  <c:v>11.6</c:v>
                </c:pt>
                <c:pt idx="9">
                  <c:v>15.2</c:v>
                </c:pt>
                <c:pt idx="10">
                  <c:v>12</c:v>
                </c:pt>
              </c:numCache>
            </c:numRef>
          </c:val>
          <c:smooth val="0"/>
          <c:extLst>
            <c:ext xmlns:c16="http://schemas.microsoft.com/office/drawing/2014/chart" uri="{C3380CC4-5D6E-409C-BE32-E72D297353CC}">
              <c16:uniqueId val="{00000004-96B4-4467-81C8-4B70729A25D9}"/>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using hooks'!$A$76</c:f>
          <c:strCache>
            <c:ptCount val="1"/>
            <c:pt idx="0">
              <c:v>Top 5 landed species by volume in 2019
Under 10m using hooks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C1D119"/>
              </a:solidFill>
              <a:ln>
                <a:solidFill>
                  <a:srgbClr val="FFFFFF"/>
                </a:solidFill>
              </a:ln>
            </c:spPr>
            <c:extLst>
              <c:ext xmlns:c16="http://schemas.microsoft.com/office/drawing/2014/chart" uri="{C3380CC4-5D6E-409C-BE32-E72D297353CC}">
                <c16:uniqueId val="{00000001-5A3A-4307-B749-06ABE0BEC2C9}"/>
              </c:ext>
            </c:extLst>
          </c:dPt>
          <c:dPt>
            <c:idx val="1"/>
            <c:bubble3D val="0"/>
            <c:spPr>
              <a:solidFill>
                <a:srgbClr val="648C2E"/>
              </a:solidFill>
              <a:ln>
                <a:solidFill>
                  <a:srgbClr val="FFFFFF"/>
                </a:solidFill>
              </a:ln>
            </c:spPr>
            <c:extLst>
              <c:ext xmlns:c16="http://schemas.microsoft.com/office/drawing/2014/chart" uri="{C3380CC4-5D6E-409C-BE32-E72D297353CC}">
                <c16:uniqueId val="{00000003-5A3A-4307-B749-06ABE0BEC2C9}"/>
              </c:ext>
            </c:extLst>
          </c:dPt>
          <c:dPt>
            <c:idx val="2"/>
            <c:bubble3D val="0"/>
            <c:spPr>
              <a:solidFill>
                <a:srgbClr val="2273B9"/>
              </a:solidFill>
              <a:ln>
                <a:solidFill>
                  <a:srgbClr val="FFFFFF"/>
                </a:solidFill>
              </a:ln>
            </c:spPr>
            <c:extLst>
              <c:ext xmlns:c16="http://schemas.microsoft.com/office/drawing/2014/chart" uri="{C3380CC4-5D6E-409C-BE32-E72D297353CC}">
                <c16:uniqueId val="{00000005-5A3A-4307-B749-06ABE0BEC2C9}"/>
              </c:ext>
            </c:extLst>
          </c:dPt>
          <c:dPt>
            <c:idx val="3"/>
            <c:bubble3D val="0"/>
            <c:spPr>
              <a:solidFill>
                <a:srgbClr val="E87308"/>
              </a:solidFill>
              <a:ln>
                <a:solidFill>
                  <a:srgbClr val="FFFFFF"/>
                </a:solidFill>
              </a:ln>
            </c:spPr>
            <c:extLst>
              <c:ext xmlns:c16="http://schemas.microsoft.com/office/drawing/2014/chart" uri="{C3380CC4-5D6E-409C-BE32-E72D297353CC}">
                <c16:uniqueId val="{00000007-5A3A-4307-B749-06ABE0BEC2C9}"/>
              </c:ext>
            </c:extLst>
          </c:dPt>
          <c:dPt>
            <c:idx val="4"/>
            <c:bubble3D val="0"/>
            <c:spPr>
              <a:solidFill>
                <a:srgbClr val="0F9AA9"/>
              </a:solidFill>
              <a:ln>
                <a:solidFill>
                  <a:srgbClr val="FFFFFF"/>
                </a:solidFill>
              </a:ln>
            </c:spPr>
            <c:extLst>
              <c:ext xmlns:c16="http://schemas.microsoft.com/office/drawing/2014/chart" uri="{C3380CC4-5D6E-409C-BE32-E72D297353CC}">
                <c16:uniqueId val="{00000009-5A3A-4307-B749-06ABE0BEC2C9}"/>
              </c:ext>
            </c:extLst>
          </c:dPt>
          <c:dPt>
            <c:idx val="5"/>
            <c:bubble3D val="0"/>
            <c:spPr>
              <a:solidFill>
                <a:srgbClr val="55585A"/>
              </a:solidFill>
              <a:ln>
                <a:solidFill>
                  <a:srgbClr val="FFFFFF"/>
                </a:solidFill>
              </a:ln>
            </c:spPr>
            <c:extLst>
              <c:ext xmlns:c16="http://schemas.microsoft.com/office/drawing/2014/chart" uri="{C3380CC4-5D6E-409C-BE32-E72D297353CC}">
                <c16:uniqueId val="{0000000B-5A3A-4307-B749-06ABE0BEC2C9}"/>
              </c:ext>
            </c:extLst>
          </c:dPt>
          <c:cat>
            <c:strRef>
              <c:f>'U10m using hooks'!$B$77:$B$82</c:f>
              <c:strCache>
                <c:ptCount val="6"/>
                <c:pt idx="0">
                  <c:v>Mackerel - 39.6%</c:v>
                </c:pt>
                <c:pt idx="1">
                  <c:v>Scallops - 18.7%</c:v>
                </c:pt>
                <c:pt idx="2">
                  <c:v>Razor Clam - 17.3%</c:v>
                </c:pt>
                <c:pt idx="3">
                  <c:v>Bass - 7.7%</c:v>
                </c:pt>
                <c:pt idx="4">
                  <c:v>Cod - 5.0%</c:v>
                </c:pt>
                <c:pt idx="5">
                  <c:v>Others - 11.7%</c:v>
                </c:pt>
              </c:strCache>
            </c:strRef>
          </c:cat>
          <c:val>
            <c:numRef>
              <c:f>'U10m using hooks'!$C$77:$C$82</c:f>
              <c:numCache>
                <c:formatCode>0.0%</c:formatCode>
                <c:ptCount val="6"/>
                <c:pt idx="0">
                  <c:v>0.39572211686008746</c:v>
                </c:pt>
                <c:pt idx="1">
                  <c:v>0.18693338548228045</c:v>
                </c:pt>
                <c:pt idx="2">
                  <c:v>0.17318185122634458</c:v>
                </c:pt>
                <c:pt idx="3">
                  <c:v>7.7236788739002735E-2</c:v>
                </c:pt>
                <c:pt idx="4">
                  <c:v>5.010019992982976E-2</c:v>
                </c:pt>
                <c:pt idx="5">
                  <c:v>0.11682565776245513</c:v>
                </c:pt>
              </c:numCache>
            </c:numRef>
          </c:val>
          <c:extLst>
            <c:ext xmlns:c16="http://schemas.microsoft.com/office/drawing/2014/chart" uri="{C3380CC4-5D6E-409C-BE32-E72D297353CC}">
              <c16:uniqueId val="{0000000C-5A3A-4307-B749-06ABE0BEC2C9}"/>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using hooks'!$F$76</c:f>
          <c:strCache>
            <c:ptCount val="1"/>
            <c:pt idx="0">
              <c:v>Top 5 landed species by value in 2019
Under 10m using hooks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BB44-4FDA-B44E-D207167ED909}"/>
              </c:ext>
            </c:extLst>
          </c:dPt>
          <c:dPt>
            <c:idx val="1"/>
            <c:bubble3D val="0"/>
            <c:spPr>
              <a:solidFill>
                <a:srgbClr val="E87308"/>
              </a:solidFill>
              <a:ln>
                <a:solidFill>
                  <a:srgbClr val="FFFFFF"/>
                </a:solidFill>
              </a:ln>
            </c:spPr>
            <c:extLst>
              <c:ext xmlns:c16="http://schemas.microsoft.com/office/drawing/2014/chart" uri="{C3380CC4-5D6E-409C-BE32-E72D297353CC}">
                <c16:uniqueId val="{00000003-BB44-4FDA-B44E-D207167ED909}"/>
              </c:ext>
            </c:extLst>
          </c:dPt>
          <c:dPt>
            <c:idx val="2"/>
            <c:bubble3D val="0"/>
            <c:spPr>
              <a:solidFill>
                <a:srgbClr val="648C2E"/>
              </a:solidFill>
              <a:ln>
                <a:solidFill>
                  <a:srgbClr val="FFFFFF"/>
                </a:solidFill>
              </a:ln>
            </c:spPr>
            <c:extLst>
              <c:ext xmlns:c16="http://schemas.microsoft.com/office/drawing/2014/chart" uri="{C3380CC4-5D6E-409C-BE32-E72D297353CC}">
                <c16:uniqueId val="{00000005-BB44-4FDA-B44E-D207167ED909}"/>
              </c:ext>
            </c:extLst>
          </c:dPt>
          <c:dPt>
            <c:idx val="3"/>
            <c:bubble3D val="0"/>
            <c:spPr>
              <a:solidFill>
                <a:srgbClr val="C1D119"/>
              </a:solidFill>
              <a:ln>
                <a:solidFill>
                  <a:srgbClr val="FFFFFF"/>
                </a:solidFill>
              </a:ln>
            </c:spPr>
            <c:extLst>
              <c:ext xmlns:c16="http://schemas.microsoft.com/office/drawing/2014/chart" uri="{C3380CC4-5D6E-409C-BE32-E72D297353CC}">
                <c16:uniqueId val="{00000007-BB44-4FDA-B44E-D207167ED909}"/>
              </c:ext>
            </c:extLst>
          </c:dPt>
          <c:dPt>
            <c:idx val="4"/>
            <c:bubble3D val="0"/>
            <c:spPr>
              <a:solidFill>
                <a:srgbClr val="E84A38"/>
              </a:solidFill>
              <a:ln>
                <a:solidFill>
                  <a:srgbClr val="FFFFFF"/>
                </a:solidFill>
              </a:ln>
            </c:spPr>
            <c:extLst>
              <c:ext xmlns:c16="http://schemas.microsoft.com/office/drawing/2014/chart" uri="{C3380CC4-5D6E-409C-BE32-E72D297353CC}">
                <c16:uniqueId val="{00000009-BB44-4FDA-B44E-D207167ED909}"/>
              </c:ext>
            </c:extLst>
          </c:dPt>
          <c:dPt>
            <c:idx val="5"/>
            <c:bubble3D val="0"/>
            <c:spPr>
              <a:solidFill>
                <a:srgbClr val="55585A"/>
              </a:solidFill>
              <a:ln>
                <a:solidFill>
                  <a:srgbClr val="FFFFFF"/>
                </a:solidFill>
              </a:ln>
            </c:spPr>
            <c:extLst>
              <c:ext xmlns:c16="http://schemas.microsoft.com/office/drawing/2014/chart" uri="{C3380CC4-5D6E-409C-BE32-E72D297353CC}">
                <c16:uniqueId val="{0000000B-BB44-4FDA-B44E-D207167ED909}"/>
              </c:ext>
            </c:extLst>
          </c:dPt>
          <c:cat>
            <c:strRef>
              <c:f>'U10m using hooks'!$G$77:$G$82</c:f>
              <c:strCache>
                <c:ptCount val="6"/>
                <c:pt idx="0">
                  <c:v>Razor Clam - 35.7%</c:v>
                </c:pt>
                <c:pt idx="1">
                  <c:v>Bass - 21.1%</c:v>
                </c:pt>
                <c:pt idx="2">
                  <c:v>Scallops - 16.2%</c:v>
                </c:pt>
                <c:pt idx="3">
                  <c:v>Mackerel - 13.6%</c:v>
                </c:pt>
                <c:pt idx="4">
                  <c:v>Pollack - 4.1%</c:v>
                </c:pt>
                <c:pt idx="5">
                  <c:v>Others - 9.2%</c:v>
                </c:pt>
              </c:strCache>
            </c:strRef>
          </c:cat>
          <c:val>
            <c:numRef>
              <c:f>'U10m using hooks'!$H$77:$H$82</c:f>
              <c:numCache>
                <c:formatCode>0.0%</c:formatCode>
                <c:ptCount val="6"/>
                <c:pt idx="0">
                  <c:v>0.35701700681353887</c:v>
                </c:pt>
                <c:pt idx="1">
                  <c:v>0.21148191820148865</c:v>
                </c:pt>
                <c:pt idx="2">
                  <c:v>0.16231023440821229</c:v>
                </c:pt>
                <c:pt idx="3">
                  <c:v>0.13600990279549099</c:v>
                </c:pt>
                <c:pt idx="4">
                  <c:v>4.10463273202024E-2</c:v>
                </c:pt>
                <c:pt idx="5">
                  <c:v>9.2134610461066857E-2</c:v>
                </c:pt>
              </c:numCache>
            </c:numRef>
          </c:val>
          <c:extLst>
            <c:ext xmlns:c16="http://schemas.microsoft.com/office/drawing/2014/chart" uri="{C3380CC4-5D6E-409C-BE32-E72D297353CC}">
              <c16:uniqueId val="{0000000C-BB44-4FDA-B44E-D207167ED909}"/>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using hooks'!$K$77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'U10m using hooks'!$C$92</c:f>
              <c:strCache>
                <c:ptCount val="1"/>
                <c:pt idx="0">
                  <c:v>Razor Clam</c:v>
                </c:pt>
              </c:strCache>
            </c:strRef>
          </c:tx>
          <c:spPr>
            <a:solidFill>
              <a:srgbClr val="2273B9"/>
            </a:solidFill>
            <a:ln>
              <a:solidFill>
                <a:srgbClr val="FFFFFF"/>
              </a:solidFill>
            </a:ln>
          </c:spPr>
          <c:invertIfNegative val="0"/>
          <c:cat>
            <c:numRef>
              <c:f>'U10m using hooks'!$D$91:$M$91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using hooks'!$D$92:$M$92</c:f>
              <c:numCache>
                <c:formatCode>0%</c:formatCode>
                <c:ptCount val="10"/>
                <c:pt idx="0">
                  <c:v>0.22490550762382239</c:v>
                </c:pt>
                <c:pt idx="1">
                  <c:v>0.27919446797822484</c:v>
                </c:pt>
                <c:pt idx="2">
                  <c:v>0.31141667646468979</c:v>
                </c:pt>
                <c:pt idx="3">
                  <c:v>0.13783119231677812</c:v>
                </c:pt>
                <c:pt idx="4">
                  <c:v>0.21859195914844093</c:v>
                </c:pt>
                <c:pt idx="5">
                  <c:v>0.28741259088271609</c:v>
                </c:pt>
                <c:pt idx="6">
                  <c:v>0.29544275449194413</c:v>
                </c:pt>
                <c:pt idx="7">
                  <c:v>0.27208691758001519</c:v>
                </c:pt>
                <c:pt idx="8">
                  <c:v>0.35701700681353887</c:v>
                </c:pt>
                <c:pt idx="9">
                  <c:v>0.29912202208464417</c:v>
                </c:pt>
              </c:numCache>
            </c:numRef>
          </c:val>
          <c:extLst>
            <c:ext xmlns:c16="http://schemas.microsoft.com/office/drawing/2014/chart" uri="{C3380CC4-5D6E-409C-BE32-E72D297353CC}">
              <c16:uniqueId val="{00000000-CB8A-42C5-A399-D3B1827E5591}"/>
            </c:ext>
          </c:extLst>
        </c:ser>
        <c:ser>
          <c:idx val="1"/>
          <c:order val="1"/>
          <c:tx>
            <c:strRef>
              <c:f>'U10m using hooks'!$C$93</c:f>
              <c:strCache>
                <c:ptCount val="1"/>
                <c:pt idx="0">
                  <c:v>Bass</c:v>
                </c:pt>
              </c:strCache>
            </c:strRef>
          </c:tx>
          <c:spPr>
            <a:solidFill>
              <a:srgbClr val="E87308"/>
            </a:solidFill>
            <a:ln>
              <a:solidFill>
                <a:srgbClr val="FFFFFF"/>
              </a:solidFill>
            </a:ln>
          </c:spPr>
          <c:invertIfNegative val="0"/>
          <c:cat>
            <c:numRef>
              <c:f>'U10m using hooks'!$D$91:$M$91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using hooks'!$D$93:$M$93</c:f>
              <c:numCache>
                <c:formatCode>0%</c:formatCode>
                <c:ptCount val="10"/>
                <c:pt idx="0">
                  <c:v>0.17174987626890278</c:v>
                </c:pt>
                <c:pt idx="1">
                  <c:v>0.21248345121293941</c:v>
                </c:pt>
                <c:pt idx="2">
                  <c:v>0.22682605482325513</c:v>
                </c:pt>
                <c:pt idx="3">
                  <c:v>0.32116198684164082</c:v>
                </c:pt>
                <c:pt idx="4">
                  <c:v>0.25458513133870647</c:v>
                </c:pt>
                <c:pt idx="5">
                  <c:v>0.2262429138774022</c:v>
                </c:pt>
                <c:pt idx="6">
                  <c:v>0.21050645095815926</c:v>
                </c:pt>
                <c:pt idx="7">
                  <c:v>0.24150489706503203</c:v>
                </c:pt>
                <c:pt idx="8">
                  <c:v>0.21148191820148865</c:v>
                </c:pt>
                <c:pt idx="9">
                  <c:v>0.26482497575577718</c:v>
                </c:pt>
              </c:numCache>
            </c:numRef>
          </c:val>
          <c:extLst>
            <c:ext xmlns:c16="http://schemas.microsoft.com/office/drawing/2014/chart" uri="{C3380CC4-5D6E-409C-BE32-E72D297353CC}">
              <c16:uniqueId val="{00000001-CB8A-42C5-A399-D3B1827E5591}"/>
            </c:ext>
          </c:extLst>
        </c:ser>
        <c:ser>
          <c:idx val="2"/>
          <c:order val="2"/>
          <c:tx>
            <c:strRef>
              <c:f>'U10m using hooks'!$C$94</c:f>
              <c:strCache>
                <c:ptCount val="1"/>
                <c:pt idx="0">
                  <c:v>Scallops</c:v>
                </c:pt>
              </c:strCache>
            </c:strRef>
          </c:tx>
          <c:spPr>
            <a:solidFill>
              <a:srgbClr val="648C2E"/>
            </a:solidFill>
            <a:ln>
              <a:solidFill>
                <a:srgbClr val="FFFFFF"/>
              </a:solidFill>
            </a:ln>
          </c:spPr>
          <c:invertIfNegative val="0"/>
          <c:cat>
            <c:numRef>
              <c:f>'U10m using hooks'!$D$91:$M$91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using hooks'!$D$94:$M$94</c:f>
              <c:numCache>
                <c:formatCode>0%</c:formatCode>
                <c:ptCount val="10"/>
                <c:pt idx="0">
                  <c:v>0.2158396310676659</c:v>
                </c:pt>
                <c:pt idx="1">
                  <c:v>0.16754322252222756</c:v>
                </c:pt>
                <c:pt idx="2">
                  <c:v>0.16996219309375496</c:v>
                </c:pt>
                <c:pt idx="3">
                  <c:v>0.26057548135537073</c:v>
                </c:pt>
                <c:pt idx="4">
                  <c:v>0.289731815883218</c:v>
                </c:pt>
                <c:pt idx="5">
                  <c:v>0.21521991971403304</c:v>
                </c:pt>
                <c:pt idx="6">
                  <c:v>0.16594160609956454</c:v>
                </c:pt>
                <c:pt idx="7">
                  <c:v>0.17934107830268026</c:v>
                </c:pt>
                <c:pt idx="8">
                  <c:v>0.16231023440821229</c:v>
                </c:pt>
                <c:pt idx="9">
                  <c:v>0.1447168933799502</c:v>
                </c:pt>
              </c:numCache>
            </c:numRef>
          </c:val>
          <c:extLst>
            <c:ext xmlns:c16="http://schemas.microsoft.com/office/drawing/2014/chart" uri="{C3380CC4-5D6E-409C-BE32-E72D297353CC}">
              <c16:uniqueId val="{00000002-CB8A-42C5-A399-D3B1827E5591}"/>
            </c:ext>
          </c:extLst>
        </c:ser>
        <c:ser>
          <c:idx val="3"/>
          <c:order val="3"/>
          <c:tx>
            <c:strRef>
              <c:f>'U10m using hooks'!$C$95</c:f>
              <c:strCache>
                <c:ptCount val="1"/>
                <c:pt idx="0">
                  <c:v>Mackerel</c:v>
                </c:pt>
              </c:strCache>
            </c:strRef>
          </c:tx>
          <c:spPr>
            <a:solidFill>
              <a:srgbClr val="C1D119"/>
            </a:solidFill>
            <a:ln>
              <a:solidFill>
                <a:srgbClr val="FFFFFF"/>
              </a:solidFill>
            </a:ln>
          </c:spPr>
          <c:invertIfNegative val="0"/>
          <c:cat>
            <c:numRef>
              <c:f>'U10m using hooks'!$D$91:$M$91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using hooks'!$D$95:$M$95</c:f>
              <c:numCache>
                <c:formatCode>0%</c:formatCode>
                <c:ptCount val="10"/>
                <c:pt idx="0">
                  <c:v>0.16132108461142552</c:v>
                </c:pt>
                <c:pt idx="1">
                  <c:v>0.13148248361667758</c:v>
                </c:pt>
                <c:pt idx="2">
                  <c:v>0.10673358043299384</c:v>
                </c:pt>
                <c:pt idx="3">
                  <c:v>0.10508980186432716</c:v>
                </c:pt>
                <c:pt idx="4">
                  <c:v>8.0592152990605431E-2</c:v>
                </c:pt>
                <c:pt idx="5">
                  <c:v>0.10358897568382357</c:v>
                </c:pt>
                <c:pt idx="6">
                  <c:v>0.15261576022701329</c:v>
                </c:pt>
                <c:pt idx="7">
                  <c:v>0.12186294089352287</c:v>
                </c:pt>
                <c:pt idx="8">
                  <c:v>0.13600990279549099</c:v>
                </c:pt>
                <c:pt idx="9">
                  <c:v>0.15716319163855871</c:v>
                </c:pt>
              </c:numCache>
            </c:numRef>
          </c:val>
          <c:extLst>
            <c:ext xmlns:c16="http://schemas.microsoft.com/office/drawing/2014/chart" uri="{C3380CC4-5D6E-409C-BE32-E72D297353CC}">
              <c16:uniqueId val="{00000003-CB8A-42C5-A399-D3B1827E5591}"/>
            </c:ext>
          </c:extLst>
        </c:ser>
        <c:ser>
          <c:idx val="4"/>
          <c:order val="4"/>
          <c:tx>
            <c:strRef>
              <c:f>'U10m using hooks'!$C$96</c:f>
              <c:strCache>
                <c:ptCount val="1"/>
                <c:pt idx="0">
                  <c:v>Pollack</c:v>
                </c:pt>
              </c:strCache>
            </c:strRef>
          </c:tx>
          <c:spPr>
            <a:solidFill>
              <a:srgbClr val="E84A38"/>
            </a:solidFill>
            <a:ln>
              <a:solidFill>
                <a:srgbClr val="FFFFFF"/>
              </a:solidFill>
            </a:ln>
          </c:spPr>
          <c:invertIfNegative val="0"/>
          <c:cat>
            <c:numRef>
              <c:f>'U10m using hooks'!$D$91:$M$91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using hooks'!$D$96:$M$96</c:f>
              <c:numCache>
                <c:formatCode>0%</c:formatCode>
                <c:ptCount val="10"/>
                <c:pt idx="0">
                  <c:v>0.10078221140297357</c:v>
                </c:pt>
                <c:pt idx="1">
                  <c:v>7.6646412587359283E-2</c:v>
                </c:pt>
                <c:pt idx="2">
                  <c:v>7.2725228129391348E-2</c:v>
                </c:pt>
                <c:pt idx="3">
                  <c:v>5.4083653060282448E-2</c:v>
                </c:pt>
                <c:pt idx="4">
                  <c:v>6.912197334418746E-2</c:v>
                </c:pt>
                <c:pt idx="5">
                  <c:v>5.6030024507622109E-2</c:v>
                </c:pt>
                <c:pt idx="6">
                  <c:v>6.4978593939146692E-2</c:v>
                </c:pt>
                <c:pt idx="7">
                  <c:v>5.9038540780753532E-2</c:v>
                </c:pt>
                <c:pt idx="8">
                  <c:v>4.10463273202024E-2</c:v>
                </c:pt>
              </c:numCache>
            </c:numRef>
          </c:val>
          <c:extLst>
            <c:ext xmlns:c16="http://schemas.microsoft.com/office/drawing/2014/chart" uri="{C3380CC4-5D6E-409C-BE32-E72D297353CC}">
              <c16:uniqueId val="{00000004-CB8A-42C5-A399-D3B1827E5591}"/>
            </c:ext>
          </c:extLst>
        </c:ser>
        <c:ser>
          <c:idx val="5"/>
          <c:order val="5"/>
          <c:tx>
            <c:strRef>
              <c:f>'U10m using hooks'!$C$97</c:f>
              <c:strCache>
                <c:ptCount val="1"/>
                <c:pt idx="0">
                  <c:v>Cod</c:v>
                </c:pt>
              </c:strCache>
            </c:strRef>
          </c:tx>
          <c:spPr>
            <a:solidFill>
              <a:srgbClr val="0F9AA9"/>
            </a:solidFill>
            <a:ln>
              <a:solidFill>
                <a:srgbClr val="FFFFFF"/>
              </a:solidFill>
            </a:ln>
          </c:spPr>
          <c:invertIfNegative val="0"/>
          <c:cat>
            <c:numRef>
              <c:f>'U10m using hooks'!$D$91:$M$91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using hooks'!$D$97:$M$97</c:f>
              <c:numCache>
                <c:formatCode>0%</c:formatCode>
                <c:ptCount val="10"/>
                <c:pt idx="9">
                  <c:v>3.0924791992240751E-2</c:v>
                </c:pt>
              </c:numCache>
            </c:numRef>
          </c:val>
          <c:extLst>
            <c:ext xmlns:c16="http://schemas.microsoft.com/office/drawing/2014/chart" uri="{C3380CC4-5D6E-409C-BE32-E72D297353CC}">
              <c16:uniqueId val="{00000005-CB8A-42C5-A399-D3B1827E5591}"/>
            </c:ext>
          </c:extLst>
        </c:ser>
        <c:ser>
          <c:idx val="6"/>
          <c:order val="6"/>
          <c:tx>
            <c:strRef>
              <c:f>'U10m using hooks'!$C$98</c:f>
              <c:strCache>
                <c:ptCount val="1"/>
                <c:pt idx="0">
                  <c:v>Others</c:v>
                </c:pt>
              </c:strCache>
            </c:strRef>
          </c:tx>
          <c:spPr>
            <a:solidFill>
              <a:srgbClr val="55585A"/>
            </a:solidFill>
            <a:ln>
              <a:solidFill>
                <a:srgbClr val="FFFFFF"/>
              </a:solidFill>
            </a:ln>
          </c:spPr>
          <c:invertIfNegative val="0"/>
          <c:cat>
            <c:numRef>
              <c:f>'U10m using hooks'!$D$91:$M$91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using hooks'!$D$98:$M$98</c:f>
              <c:numCache>
                <c:formatCode>0%</c:formatCode>
                <c:ptCount val="10"/>
                <c:pt idx="0">
                  <c:v>0.12540168902520984</c:v>
                </c:pt>
                <c:pt idx="1">
                  <c:v>0.13264996208257132</c:v>
                </c:pt>
                <c:pt idx="2">
                  <c:v>0.11233626705591494</c:v>
                </c:pt>
                <c:pt idx="3">
                  <c:v>0.12125788456160072</c:v>
                </c:pt>
                <c:pt idx="4">
                  <c:v>8.7376967294841665E-2</c:v>
                </c:pt>
                <c:pt idx="5">
                  <c:v>0.11150557533440301</c:v>
                </c:pt>
                <c:pt idx="6">
                  <c:v>0.11051483428417211</c:v>
                </c:pt>
                <c:pt idx="7">
                  <c:v>0.12616562537799614</c:v>
                </c:pt>
                <c:pt idx="8">
                  <c:v>9.2134610461066774E-2</c:v>
                </c:pt>
                <c:pt idx="9">
                  <c:v>0.10324812514882897</c:v>
                </c:pt>
              </c:numCache>
            </c:numRef>
          </c:val>
          <c:extLst>
            <c:ext xmlns:c16="http://schemas.microsoft.com/office/drawing/2014/chart" uri="{C3380CC4-5D6E-409C-BE32-E72D297353CC}">
              <c16:uniqueId val="{00000006-CB8A-42C5-A399-D3B1827E5591}"/>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'U10m using hooks'!$B$162</c:f>
              <c:strCache>
                <c:ptCount val="1"/>
                <c:pt idx="0">
                  <c:v>Mackerel</c:v>
                </c:pt>
              </c:strCache>
            </c:strRef>
          </c:tx>
          <c:spPr>
            <a:solidFill>
              <a:srgbClr val="C1D119"/>
            </a:solidFill>
            <a:ln>
              <a:solidFill>
                <a:srgbClr val="FFFFFF"/>
              </a:solidFill>
            </a:ln>
          </c:spPr>
          <c:invertIfNegative val="0"/>
          <c:cat>
            <c:strRef>
              <c:f>'U10m using hooks'!$C$161:$E$161</c:f>
              <c:strCache>
                <c:ptCount val="3"/>
                <c:pt idx="0">
                  <c:v>Most
profitable
quartile</c:v>
                </c:pt>
                <c:pt idx="1">
                  <c:v>Middle 
two quartiles</c:v>
                </c:pt>
                <c:pt idx="2">
                  <c:v>Least
profitable
quartile</c:v>
                </c:pt>
              </c:strCache>
            </c:strRef>
          </c:cat>
          <c:val>
            <c:numRef>
              <c:f>'U10m using hooks'!$C$162:$E$162</c:f>
              <c:numCache>
                <c:formatCode>0%</c:formatCode>
                <c:ptCount val="3"/>
                <c:pt idx="0">
                  <c:v>0.34696001638731871</c:v>
                </c:pt>
                <c:pt idx="1">
                  <c:v>0.43347441099368522</c:v>
                </c:pt>
                <c:pt idx="2">
                  <c:v>0.39925920067349724</c:v>
                </c:pt>
              </c:numCache>
            </c:numRef>
          </c:val>
          <c:extLst>
            <c:ext xmlns:c16="http://schemas.microsoft.com/office/drawing/2014/chart" uri="{C3380CC4-5D6E-409C-BE32-E72D297353CC}">
              <c16:uniqueId val="{00000000-643E-414B-A992-547BE30F7944}"/>
            </c:ext>
          </c:extLst>
        </c:ser>
        <c:ser>
          <c:idx val="1"/>
          <c:order val="1"/>
          <c:tx>
            <c:strRef>
              <c:f>'U10m using hooks'!$B$163</c:f>
              <c:strCache>
                <c:ptCount val="1"/>
                <c:pt idx="0">
                  <c:v>Scallops</c:v>
                </c:pt>
              </c:strCache>
            </c:strRef>
          </c:tx>
          <c:spPr>
            <a:solidFill>
              <a:srgbClr val="648C2E"/>
            </a:solidFill>
            <a:ln>
              <a:solidFill>
                <a:srgbClr val="FFFFFF"/>
              </a:solidFill>
            </a:ln>
          </c:spPr>
          <c:invertIfNegative val="0"/>
          <c:cat>
            <c:strRef>
              <c:f>'U10m using hooks'!$C$161:$E$161</c:f>
              <c:strCache>
                <c:ptCount val="3"/>
                <c:pt idx="0">
                  <c:v>Most
profitable
quartile</c:v>
                </c:pt>
                <c:pt idx="1">
                  <c:v>Middle 
two quartiles</c:v>
                </c:pt>
                <c:pt idx="2">
                  <c:v>Least
profitable
quartile</c:v>
                </c:pt>
              </c:strCache>
            </c:strRef>
          </c:cat>
          <c:val>
            <c:numRef>
              <c:f>'U10m using hooks'!$C$163:$E$163</c:f>
              <c:numCache>
                <c:formatCode>0%</c:formatCode>
                <c:ptCount val="3"/>
                <c:pt idx="0">
                  <c:v>6.2270142993805032E-2</c:v>
                </c:pt>
                <c:pt idx="1">
                  <c:v>0.28147374057659047</c:v>
                </c:pt>
                <c:pt idx="2">
                  <c:v>0.12459059279993524</c:v>
                </c:pt>
              </c:numCache>
            </c:numRef>
          </c:val>
          <c:extLst>
            <c:ext xmlns:c16="http://schemas.microsoft.com/office/drawing/2014/chart" uri="{C3380CC4-5D6E-409C-BE32-E72D297353CC}">
              <c16:uniqueId val="{00000001-643E-414B-A992-547BE30F7944}"/>
            </c:ext>
          </c:extLst>
        </c:ser>
        <c:ser>
          <c:idx val="2"/>
          <c:order val="2"/>
          <c:tx>
            <c:strRef>
              <c:f>'U10m using hooks'!$B$164</c:f>
              <c:strCache>
                <c:ptCount val="1"/>
                <c:pt idx="0">
                  <c:v>Razor Clam</c:v>
                </c:pt>
              </c:strCache>
            </c:strRef>
          </c:tx>
          <c:spPr>
            <a:solidFill>
              <a:srgbClr val="2273B9"/>
            </a:solidFill>
            <a:ln>
              <a:solidFill>
                <a:srgbClr val="FFFFFF"/>
              </a:solidFill>
            </a:ln>
          </c:spPr>
          <c:invertIfNegative val="0"/>
          <c:cat>
            <c:strRef>
              <c:f>'U10m using hooks'!$C$161:$E$161</c:f>
              <c:strCache>
                <c:ptCount val="3"/>
                <c:pt idx="0">
                  <c:v>Most
profitable
quartile</c:v>
                </c:pt>
                <c:pt idx="1">
                  <c:v>Middle 
two quartiles</c:v>
                </c:pt>
                <c:pt idx="2">
                  <c:v>Least
profitable
quartile</c:v>
                </c:pt>
              </c:strCache>
            </c:strRef>
          </c:cat>
          <c:val>
            <c:numRef>
              <c:f>'U10m using hooks'!$C$164:$E$164</c:f>
              <c:numCache>
                <c:formatCode>0%</c:formatCode>
                <c:ptCount val="3"/>
                <c:pt idx="0">
                  <c:v>0.39027517180973204</c:v>
                </c:pt>
                <c:pt idx="1">
                  <c:v>0.10041369798483246</c:v>
                </c:pt>
                <c:pt idx="2">
                  <c:v>0</c:v>
                </c:pt>
              </c:numCache>
            </c:numRef>
          </c:val>
          <c:extLst>
            <c:ext xmlns:c16="http://schemas.microsoft.com/office/drawing/2014/chart" uri="{C3380CC4-5D6E-409C-BE32-E72D297353CC}">
              <c16:uniqueId val="{00000002-643E-414B-A992-547BE30F7944}"/>
            </c:ext>
          </c:extLst>
        </c:ser>
        <c:ser>
          <c:idx val="3"/>
          <c:order val="3"/>
          <c:tx>
            <c:strRef>
              <c:f>'U10m using hooks'!$B$165</c:f>
              <c:strCache>
                <c:ptCount val="1"/>
                <c:pt idx="0">
                  <c:v>Bass</c:v>
                </c:pt>
              </c:strCache>
            </c:strRef>
          </c:tx>
          <c:spPr>
            <a:solidFill>
              <a:srgbClr val="E87308"/>
            </a:solidFill>
            <a:ln>
              <a:solidFill>
                <a:srgbClr val="FFFFFF"/>
              </a:solidFill>
            </a:ln>
          </c:spPr>
          <c:invertIfNegative val="0"/>
          <c:cat>
            <c:strRef>
              <c:f>'U10m using hooks'!$C$161:$E$161</c:f>
              <c:strCache>
                <c:ptCount val="3"/>
                <c:pt idx="0">
                  <c:v>Most
profitable
quartile</c:v>
                </c:pt>
                <c:pt idx="1">
                  <c:v>Middle 
two quartiles</c:v>
                </c:pt>
                <c:pt idx="2">
                  <c:v>Least
profitable
quartile</c:v>
                </c:pt>
              </c:strCache>
            </c:strRef>
          </c:cat>
          <c:val>
            <c:numRef>
              <c:f>'U10m using hooks'!$C$165:$E$165</c:f>
              <c:numCache>
                <c:formatCode>0%</c:formatCode>
                <c:ptCount val="3"/>
                <c:pt idx="0">
                  <c:v>6.8283595172030725E-2</c:v>
                </c:pt>
                <c:pt idx="1">
                  <c:v>7.1136634374552241E-2</c:v>
                </c:pt>
                <c:pt idx="2">
                  <c:v>0.12501935387506902</c:v>
                </c:pt>
              </c:numCache>
            </c:numRef>
          </c:val>
          <c:extLst>
            <c:ext xmlns:c16="http://schemas.microsoft.com/office/drawing/2014/chart" uri="{C3380CC4-5D6E-409C-BE32-E72D297353CC}">
              <c16:uniqueId val="{00000003-643E-414B-A992-547BE30F7944}"/>
            </c:ext>
          </c:extLst>
        </c:ser>
        <c:ser>
          <c:idx val="4"/>
          <c:order val="4"/>
          <c:tx>
            <c:strRef>
              <c:f>'U10m using hooks'!$B$166</c:f>
              <c:strCache>
                <c:ptCount val="1"/>
                <c:pt idx="0">
                  <c:v>Pollack</c:v>
                </c:pt>
              </c:strCache>
            </c:strRef>
          </c:tx>
          <c:spPr>
            <a:solidFill>
              <a:srgbClr val="E84A38"/>
            </a:solidFill>
            <a:ln>
              <a:solidFill>
                <a:srgbClr val="FFFFFF"/>
              </a:solidFill>
            </a:ln>
          </c:spPr>
          <c:invertIfNegative val="0"/>
          <c:cat>
            <c:strRef>
              <c:f>'U10m using hooks'!$C$161:$E$161</c:f>
              <c:strCache>
                <c:ptCount val="3"/>
                <c:pt idx="0">
                  <c:v>Most
profitable
quartile</c:v>
                </c:pt>
                <c:pt idx="1">
                  <c:v>Middle 
two quartiles</c:v>
                </c:pt>
                <c:pt idx="2">
                  <c:v>Least
profitable
quartile</c:v>
                </c:pt>
              </c:strCache>
            </c:strRef>
          </c:cat>
          <c:val>
            <c:numRef>
              <c:f>'U10m using hooks'!$C$166:$E$166</c:f>
              <c:numCache>
                <c:formatCode>0%</c:formatCode>
                <c:ptCount val="3"/>
                <c:pt idx="0">
                  <c:v>0</c:v>
                </c:pt>
                <c:pt idx="1">
                  <c:v>5.8151458349965338E-2</c:v>
                </c:pt>
                <c:pt idx="2">
                  <c:v>0.10527084050837472</c:v>
                </c:pt>
              </c:numCache>
            </c:numRef>
          </c:val>
          <c:extLst>
            <c:ext xmlns:c16="http://schemas.microsoft.com/office/drawing/2014/chart" uri="{C3380CC4-5D6E-409C-BE32-E72D297353CC}">
              <c16:uniqueId val="{00000004-643E-414B-A992-547BE30F7944}"/>
            </c:ext>
          </c:extLst>
        </c:ser>
        <c:ser>
          <c:idx val="5"/>
          <c:order val="5"/>
          <c:tx>
            <c:strRef>
              <c:f>'U10m using hooks'!$B$167</c:f>
              <c:strCache>
                <c:ptCount val="1"/>
                <c:pt idx="0">
                  <c:v>Cod</c:v>
                </c:pt>
              </c:strCache>
            </c:strRef>
          </c:tx>
          <c:spPr>
            <a:solidFill>
              <a:srgbClr val="0F9AA9"/>
            </a:solidFill>
            <a:ln>
              <a:solidFill>
                <a:srgbClr val="FFFFFF"/>
              </a:solidFill>
            </a:ln>
          </c:spPr>
          <c:invertIfNegative val="0"/>
          <c:cat>
            <c:strRef>
              <c:f>'U10m using hooks'!$C$161:$E$161</c:f>
              <c:strCache>
                <c:ptCount val="3"/>
                <c:pt idx="0">
                  <c:v>Most
profitable
quartile</c:v>
                </c:pt>
                <c:pt idx="1">
                  <c:v>Middle 
two quartiles</c:v>
                </c:pt>
                <c:pt idx="2">
                  <c:v>Least
profitable
quartile</c:v>
                </c:pt>
              </c:strCache>
            </c:strRef>
          </c:cat>
          <c:val>
            <c:numRef>
              <c:f>'U10m using hooks'!$C$167:$E$167</c:f>
              <c:numCache>
                <c:formatCode>0%</c:formatCode>
                <c:ptCount val="3"/>
                <c:pt idx="0">
                  <c:v>6.7937117701831543E-2</c:v>
                </c:pt>
                <c:pt idx="1">
                  <c:v>0</c:v>
                </c:pt>
                <c:pt idx="2">
                  <c:v>0.12368597548556183</c:v>
                </c:pt>
              </c:numCache>
            </c:numRef>
          </c:val>
          <c:extLst>
            <c:ext xmlns:c16="http://schemas.microsoft.com/office/drawing/2014/chart" uri="{C3380CC4-5D6E-409C-BE32-E72D297353CC}">
              <c16:uniqueId val="{00000005-643E-414B-A992-547BE30F7944}"/>
            </c:ext>
          </c:extLst>
        </c:ser>
        <c:ser>
          <c:idx val="6"/>
          <c:order val="6"/>
          <c:tx>
            <c:strRef>
              <c:f>'U10m using hooks'!$B$168</c:f>
              <c:strCache>
                <c:ptCount val="1"/>
                <c:pt idx="0">
                  <c:v>Others</c:v>
                </c:pt>
              </c:strCache>
            </c:strRef>
          </c:tx>
          <c:spPr>
            <a:solidFill>
              <a:srgbClr val="55585A"/>
            </a:solidFill>
            <a:ln>
              <a:solidFill>
                <a:srgbClr val="FFFFFF"/>
              </a:solidFill>
            </a:ln>
          </c:spPr>
          <c:invertIfNegative val="0"/>
          <c:cat>
            <c:strRef>
              <c:f>'U10m using hooks'!$C$161:$E$161</c:f>
              <c:strCache>
                <c:ptCount val="3"/>
                <c:pt idx="0">
                  <c:v>Most
profitable
quartile</c:v>
                </c:pt>
                <c:pt idx="1">
                  <c:v>Middle 
two quartiles</c:v>
                </c:pt>
                <c:pt idx="2">
                  <c:v>Least
profitable
quartile</c:v>
                </c:pt>
              </c:strCache>
            </c:strRef>
          </c:cat>
          <c:val>
            <c:numRef>
              <c:f>'U10m using hooks'!$C$168:$E$168</c:f>
              <c:numCache>
                <c:formatCode>0%</c:formatCode>
                <c:ptCount val="3"/>
                <c:pt idx="0">
                  <c:v>6.4273955935281957E-2</c:v>
                </c:pt>
                <c:pt idx="1">
                  <c:v>5.5350057720374268E-2</c:v>
                </c:pt>
                <c:pt idx="2">
                  <c:v>0.12217403665756199</c:v>
                </c:pt>
              </c:numCache>
            </c:numRef>
          </c:val>
          <c:extLst>
            <c:ext xmlns:c16="http://schemas.microsoft.com/office/drawing/2014/chart" uri="{C3380CC4-5D6E-409C-BE32-E72D297353CC}">
              <c16:uniqueId val="{00000006-643E-414B-A992-547BE30F7944}"/>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'U10m using hooks'!$H$162</c:f>
              <c:strCache>
                <c:ptCount val="1"/>
                <c:pt idx="0">
                  <c:v>Scallops</c:v>
                </c:pt>
              </c:strCache>
            </c:strRef>
          </c:tx>
          <c:spPr>
            <a:solidFill>
              <a:srgbClr val="648C2E"/>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hooks'!$I$162:$K$162</c:f>
              <c:numCache>
                <c:formatCode>0%</c:formatCode>
                <c:ptCount val="3"/>
                <c:pt idx="0">
                  <c:v>4.5218962820184193E-2</c:v>
                </c:pt>
                <c:pt idx="1">
                  <c:v>0.27722481308935487</c:v>
                </c:pt>
                <c:pt idx="2">
                  <c:v>0.12071195205418699</c:v>
                </c:pt>
              </c:numCache>
            </c:numRef>
          </c:val>
          <c:extLst>
            <c:ext xmlns:c16="http://schemas.microsoft.com/office/drawing/2014/chart" uri="{C3380CC4-5D6E-409C-BE32-E72D297353CC}">
              <c16:uniqueId val="{00000000-ED37-4F4F-830E-9834464AF8DB}"/>
            </c:ext>
          </c:extLst>
        </c:ser>
        <c:ser>
          <c:idx val="1"/>
          <c:order val="1"/>
          <c:tx>
            <c:strRef>
              <c:f>'U10m using hooks'!$H$163</c:f>
              <c:strCache>
                <c:ptCount val="1"/>
                <c:pt idx="0">
                  <c:v>Bass</c:v>
                </c:pt>
              </c:strCache>
            </c:strRef>
          </c:tx>
          <c:spPr>
            <a:solidFill>
              <a:srgbClr val="E87308"/>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hooks'!$I$163:$K$163</c:f>
              <c:numCache>
                <c:formatCode>0%</c:formatCode>
                <c:ptCount val="3"/>
                <c:pt idx="0">
                  <c:v>0.13922901359656073</c:v>
                </c:pt>
                <c:pt idx="1">
                  <c:v>0.22492721382278025</c:v>
                </c:pt>
                <c:pt idx="2">
                  <c:v>0.40614324099260363</c:v>
                </c:pt>
              </c:numCache>
            </c:numRef>
          </c:val>
          <c:extLst>
            <c:ext xmlns:c16="http://schemas.microsoft.com/office/drawing/2014/chart" uri="{C3380CC4-5D6E-409C-BE32-E72D297353CC}">
              <c16:uniqueId val="{00000001-ED37-4F4F-830E-9834464AF8DB}"/>
            </c:ext>
          </c:extLst>
        </c:ser>
        <c:ser>
          <c:idx val="2"/>
          <c:order val="2"/>
          <c:tx>
            <c:strRef>
              <c:f>'U10m using hooks'!$H$164</c:f>
              <c:strCache>
                <c:ptCount val="1"/>
                <c:pt idx="0">
                  <c:v>Razor Clam</c:v>
                </c:pt>
              </c:strCache>
            </c:strRef>
          </c:tx>
          <c:spPr>
            <a:solidFill>
              <a:srgbClr val="2273B9"/>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hooks'!$I$164:$K$164</c:f>
              <c:numCache>
                <c:formatCode>0%</c:formatCode>
                <c:ptCount val="3"/>
                <c:pt idx="0">
                  <c:v>0.6432573327405523</c:v>
                </c:pt>
                <c:pt idx="1">
                  <c:v>0.2160156926104857</c:v>
                </c:pt>
                <c:pt idx="2">
                  <c:v>0</c:v>
                </c:pt>
              </c:numCache>
            </c:numRef>
          </c:val>
          <c:extLst>
            <c:ext xmlns:c16="http://schemas.microsoft.com/office/drawing/2014/chart" uri="{C3380CC4-5D6E-409C-BE32-E72D297353CC}">
              <c16:uniqueId val="{00000002-ED37-4F4F-830E-9834464AF8DB}"/>
            </c:ext>
          </c:extLst>
        </c:ser>
        <c:ser>
          <c:idx val="3"/>
          <c:order val="3"/>
          <c:tx>
            <c:strRef>
              <c:f>'U10m using hooks'!$H$165</c:f>
              <c:strCache>
                <c:ptCount val="1"/>
                <c:pt idx="0">
                  <c:v>Mackerel</c:v>
                </c:pt>
              </c:strCache>
            </c:strRef>
          </c:tx>
          <c:spPr>
            <a:solidFill>
              <a:srgbClr val="C1D119"/>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hooks'!$I$165:$K$165</c:f>
              <c:numCache>
                <c:formatCode>0%</c:formatCode>
                <c:ptCount val="3"/>
                <c:pt idx="0">
                  <c:v>9.2337710566676695E-2</c:v>
                </c:pt>
                <c:pt idx="1">
                  <c:v>0.16918632781452778</c:v>
                </c:pt>
                <c:pt idx="2">
                  <c:v>0.16192798166278816</c:v>
                </c:pt>
              </c:numCache>
            </c:numRef>
          </c:val>
          <c:extLst>
            <c:ext xmlns:c16="http://schemas.microsoft.com/office/drawing/2014/chart" uri="{C3380CC4-5D6E-409C-BE32-E72D297353CC}">
              <c16:uniqueId val="{00000003-ED37-4F4F-830E-9834464AF8DB}"/>
            </c:ext>
          </c:extLst>
        </c:ser>
        <c:ser>
          <c:idx val="4"/>
          <c:order val="4"/>
          <c:tx>
            <c:strRef>
              <c:f>'U10m using hooks'!$H$166</c:f>
              <c:strCache>
                <c:ptCount val="1"/>
                <c:pt idx="0">
                  <c:v>Pollack</c:v>
                </c:pt>
              </c:strCache>
            </c:strRef>
          </c:tx>
          <c:spPr>
            <a:solidFill>
              <a:srgbClr val="E84A38"/>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hooks'!$I$166:$K$166</c:f>
              <c:numCache>
                <c:formatCode>0%</c:formatCode>
                <c:ptCount val="3"/>
                <c:pt idx="0">
                  <c:v>0</c:v>
                </c:pt>
                <c:pt idx="1">
                  <c:v>5.5137133097748439E-2</c:v>
                </c:pt>
                <c:pt idx="2">
                  <c:v>0.10258152694490408</c:v>
                </c:pt>
              </c:numCache>
            </c:numRef>
          </c:val>
          <c:extLst>
            <c:ext xmlns:c16="http://schemas.microsoft.com/office/drawing/2014/chart" uri="{C3380CC4-5D6E-409C-BE32-E72D297353CC}">
              <c16:uniqueId val="{00000004-ED37-4F4F-830E-9834464AF8DB}"/>
            </c:ext>
          </c:extLst>
        </c:ser>
        <c:ser>
          <c:idx val="5"/>
          <c:order val="5"/>
          <c:tx>
            <c:strRef>
              <c:f>'U10m using hooks'!$H$167</c:f>
              <c:strCache>
                <c:ptCount val="1"/>
                <c:pt idx="0">
                  <c:v>Cod</c:v>
                </c:pt>
              </c:strCache>
            </c:strRef>
          </c:tx>
          <c:spPr>
            <a:solidFill>
              <a:srgbClr val="0F9AA9"/>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hooks'!$I$167:$K$167</c:f>
              <c:numCache>
                <c:formatCode>0%</c:formatCode>
                <c:ptCount val="3"/>
                <c:pt idx="0">
                  <c:v>3.3432713540110043E-2</c:v>
                </c:pt>
                <c:pt idx="1">
                  <c:v>0</c:v>
                </c:pt>
                <c:pt idx="2">
                  <c:v>9.3614321422494345E-2</c:v>
                </c:pt>
              </c:numCache>
            </c:numRef>
          </c:val>
          <c:extLst>
            <c:ext xmlns:c16="http://schemas.microsoft.com/office/drawing/2014/chart" uri="{C3380CC4-5D6E-409C-BE32-E72D297353CC}">
              <c16:uniqueId val="{00000005-ED37-4F4F-830E-9834464AF8DB}"/>
            </c:ext>
          </c:extLst>
        </c:ser>
        <c:ser>
          <c:idx val="6"/>
          <c:order val="6"/>
          <c:tx>
            <c:strRef>
              <c:f>'U10m using hooks'!$H$168</c:f>
              <c:strCache>
                <c:ptCount val="1"/>
                <c:pt idx="0">
                  <c:v>Others</c:v>
                </c:pt>
              </c:strCache>
            </c:strRef>
          </c:tx>
          <c:spPr>
            <a:solidFill>
              <a:srgbClr val="55585A"/>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hooks'!$I$168:$K$168</c:f>
              <c:numCache>
                <c:formatCode>0%</c:formatCode>
                <c:ptCount val="3"/>
                <c:pt idx="0">
                  <c:v>4.6524266735916031E-2</c:v>
                </c:pt>
                <c:pt idx="1">
                  <c:v>5.7508819565102898E-2</c:v>
                </c:pt>
                <c:pt idx="2">
                  <c:v>0.11502097692302282</c:v>
                </c:pt>
              </c:numCache>
            </c:numRef>
          </c:val>
          <c:extLst>
            <c:ext xmlns:c16="http://schemas.microsoft.com/office/drawing/2014/chart" uri="{C3380CC4-5D6E-409C-BE32-E72D297353CC}">
              <c16:uniqueId val="{00000006-ED37-4F4F-830E-9834464AF8DB}"/>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'U10m using hooks'!$K$139</c:f>
              <c:strCache>
                <c:ptCount val="1"/>
                <c:pt idx="0">
                  <c:v>Total income</c:v>
                </c:pt>
              </c:strCache>
            </c:strRef>
          </c:tx>
          <c:spPr>
            <a:solidFill>
              <a:srgbClr val="087CBB"/>
            </a:solidFill>
            <a:ln>
              <a:solidFill>
                <a:schemeClr val="accent1"/>
              </a:solidFill>
            </a:ln>
          </c:spPr>
          <c:invertIfNegative val="0"/>
          <c:cat>
            <c:strRef>
              <c:f>'U10m using hooks'!$L$138:$N$138</c:f>
              <c:strCache>
                <c:ptCount val="3"/>
                <c:pt idx="0">
                  <c:v>Most
profitable
quartile</c:v>
                </c:pt>
                <c:pt idx="1">
                  <c:v>Middle
two quartiles</c:v>
                </c:pt>
                <c:pt idx="2">
                  <c:v>Least
profitable
quartile</c:v>
                </c:pt>
              </c:strCache>
            </c:strRef>
          </c:cat>
          <c:val>
            <c:numRef>
              <c:f>'U10m using hooks'!$L$139:$N$139</c:f>
              <c:numCache>
                <c:formatCode>#,##0</c:formatCode>
                <c:ptCount val="3"/>
                <c:pt idx="0">
                  <c:v>81.1028203125</c:v>
                </c:pt>
                <c:pt idx="1">
                  <c:v>49.304007812499997</c:v>
                </c:pt>
                <c:pt idx="2">
                  <c:v>25.680003906250001</c:v>
                </c:pt>
              </c:numCache>
            </c:numRef>
          </c:val>
          <c:extLst>
            <c:ext xmlns:c16="http://schemas.microsoft.com/office/drawing/2014/chart" uri="{C3380CC4-5D6E-409C-BE32-E72D297353CC}">
              <c16:uniqueId val="{00000000-CFFC-4373-B2E1-F131BB27F921}"/>
            </c:ext>
          </c:extLst>
        </c:ser>
        <c:ser>
          <c:idx val="1"/>
          <c:order val="1"/>
          <c:tx>
            <c:strRef>
              <c:f>'U10m using hooks'!$K$140</c:f>
              <c:strCache>
                <c:ptCount val="1"/>
                <c:pt idx="0">
                  <c:v>Operating costs</c:v>
                </c:pt>
              </c:strCache>
            </c:strRef>
          </c:tx>
          <c:spPr>
            <a:solidFill>
              <a:srgbClr val="E87308"/>
            </a:solidFill>
          </c:spPr>
          <c:invertIfNegative val="0"/>
          <c:cat>
            <c:strRef>
              <c:f>'U10m using hooks'!$L$138:$N$138</c:f>
              <c:strCache>
                <c:ptCount val="3"/>
                <c:pt idx="0">
                  <c:v>Most
profitable
quartile</c:v>
                </c:pt>
                <c:pt idx="1">
                  <c:v>Middle
two quartiles</c:v>
                </c:pt>
                <c:pt idx="2">
                  <c:v>Least
profitable
quartile</c:v>
                </c:pt>
              </c:strCache>
            </c:strRef>
          </c:cat>
          <c:val>
            <c:numRef>
              <c:f>'U10m using hooks'!$L$140:$N$140</c:f>
              <c:numCache>
                <c:formatCode>#,##0</c:formatCode>
                <c:ptCount val="3"/>
                <c:pt idx="0">
                  <c:v>54.24578125</c:v>
                </c:pt>
                <c:pt idx="1">
                  <c:v>34.765941406250001</c:v>
                </c:pt>
                <c:pt idx="2">
                  <c:v>20.941029296875001</c:v>
                </c:pt>
              </c:numCache>
            </c:numRef>
          </c:val>
          <c:extLst>
            <c:ext xmlns:c16="http://schemas.microsoft.com/office/drawing/2014/chart" uri="{C3380CC4-5D6E-409C-BE32-E72D297353CC}">
              <c16:uniqueId val="{00000001-CFFC-4373-B2E1-F131BB27F921}"/>
            </c:ext>
          </c:extLst>
        </c:ser>
        <c:ser>
          <c:idx val="2"/>
          <c:order val="2"/>
          <c:tx>
            <c:strRef>
              <c:f>'U10m using hooks'!$K$141</c:f>
              <c:strCache>
                <c:ptCount val="1"/>
                <c:pt idx="0">
                  <c:v>Operating profit</c:v>
                </c:pt>
              </c:strCache>
            </c:strRef>
          </c:tx>
          <c:spPr>
            <a:solidFill>
              <a:srgbClr val="51AA81"/>
            </a:solidFill>
          </c:spPr>
          <c:invertIfNegative val="0"/>
          <c:cat>
            <c:strRef>
              <c:f>'U10m using hooks'!$L$138:$N$138</c:f>
              <c:strCache>
                <c:ptCount val="3"/>
                <c:pt idx="0">
                  <c:v>Most
profitable
quartile</c:v>
                </c:pt>
                <c:pt idx="1">
                  <c:v>Middle
two quartiles</c:v>
                </c:pt>
                <c:pt idx="2">
                  <c:v>Least
profitable
quartile</c:v>
                </c:pt>
              </c:strCache>
            </c:strRef>
          </c:cat>
          <c:val>
            <c:numRef>
              <c:f>'U10m using hooks'!$L$141:$N$141</c:f>
              <c:numCache>
                <c:formatCode>#,##0</c:formatCode>
                <c:ptCount val="3"/>
                <c:pt idx="0">
                  <c:v>26.8570390625</c:v>
                </c:pt>
                <c:pt idx="1">
                  <c:v>14.53806640625</c:v>
                </c:pt>
                <c:pt idx="2">
                  <c:v>4.738974609375</c:v>
                </c:pt>
              </c:numCache>
            </c:numRef>
          </c:val>
          <c:extLst>
            <c:ext xmlns:c16="http://schemas.microsoft.com/office/drawing/2014/chart" uri="{C3380CC4-5D6E-409C-BE32-E72D297353CC}">
              <c16:uniqueId val="{00000002-CFFC-4373-B2E1-F131BB27F921}"/>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'U10m using hooks'!$K$142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250kW'!$A$48</c:f>
          <c:strCache>
            <c:ptCount val="1"/>
            <c:pt idx="0">
              <c:v>Landings per kW day at sea (kg)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E03A-4871-B431-C8CB27E84559}"/>
              </c:ext>
            </c:extLst>
          </c:dPt>
          <c:dPt>
            <c:idx val="10"/>
            <c:bubble3D val="0"/>
            <c:spPr>
              <a:ln w="57150">
                <a:solidFill>
                  <a:srgbClr val="2273B9"/>
                </a:solidFill>
                <a:prstDash val="sysDot"/>
              </a:ln>
            </c:spPr>
            <c:extLst>
              <c:ext xmlns:c16="http://schemas.microsoft.com/office/drawing/2014/chart" uri="{C3380CC4-5D6E-409C-BE32-E72D297353CC}">
                <c16:uniqueId val="{00000003-E03A-4871-B431-C8CB27E84559}"/>
              </c:ext>
            </c:extLst>
          </c:dPt>
          <c:cat>
            <c:numRef>
              <c:f>'WOS nephrops over 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'WOS nephrops over 250kW'!$D$21:$N$21</c:f>
              <c:numCache>
                <c:formatCode>#,##0.00</c:formatCode>
                <c:ptCount val="11"/>
                <c:pt idx="0">
                  <c:v>2.2435628804617034</c:v>
                </c:pt>
                <c:pt idx="1">
                  <c:v>2.6858696515414779</c:v>
                </c:pt>
                <c:pt idx="2">
                  <c:v>2.9922154868455353</c:v>
                </c:pt>
                <c:pt idx="3">
                  <c:v>2.5581684467125867</c:v>
                </c:pt>
                <c:pt idx="4">
                  <c:v>2.6258873452062752</c:v>
                </c:pt>
                <c:pt idx="5">
                  <c:v>2.2740631791526993</c:v>
                </c:pt>
                <c:pt idx="6">
                  <c:v>2.7163436092090691</c:v>
                </c:pt>
                <c:pt idx="7">
                  <c:v>2.5478683877913251</c:v>
                </c:pt>
                <c:pt idx="8">
                  <c:v>1.8524710411230856</c:v>
                </c:pt>
                <c:pt idx="9">
                  <c:v>2.5297418255753339</c:v>
                </c:pt>
                <c:pt idx="10">
                  <c:v>2.2703939102073631</c:v>
                </c:pt>
              </c:numCache>
            </c:numRef>
          </c:val>
          <c:smooth val="0"/>
          <c:extLst>
            <c:ext xmlns:c16="http://schemas.microsoft.com/office/drawing/2014/chart" uri="{C3380CC4-5D6E-409C-BE32-E72D297353CC}">
              <c16:uniqueId val="{00000004-E03A-4871-B431-C8CB27E84559}"/>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'Area VIIa nephrops u250kW'!$H$162</c:f>
              <c:strCache>
                <c:ptCount val="1"/>
                <c:pt idx="0">
                  <c:v>Nephrops</c:v>
                </c:pt>
              </c:strCache>
            </c:strRef>
          </c:tx>
          <c:spPr>
            <a:solidFill>
              <a:srgbClr val="2273B9"/>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u250kW'!$I$162:$K$162</c:f>
              <c:numCache>
                <c:formatCode>0%</c:formatCode>
                <c:ptCount val="3"/>
                <c:pt idx="0">
                  <c:v>0.88576612021857926</c:v>
                </c:pt>
                <c:pt idx="1">
                  <c:v>0.85611519845075323</c:v>
                </c:pt>
                <c:pt idx="2">
                  <c:v>0.78812496851468472</c:v>
                </c:pt>
              </c:numCache>
            </c:numRef>
          </c:val>
          <c:extLst>
            <c:ext xmlns:c16="http://schemas.microsoft.com/office/drawing/2014/chart" uri="{C3380CC4-5D6E-409C-BE32-E72D297353CC}">
              <c16:uniqueId val="{00000000-EB7E-404E-8AC0-D0A6392B5114}"/>
            </c:ext>
          </c:extLst>
        </c:ser>
        <c:ser>
          <c:idx val="1"/>
          <c:order val="1"/>
          <c:tx>
            <c:strRef>
              <c:f>'Area VIIa nephrops u250kW'!$H$163</c:f>
              <c:strCache>
                <c:ptCount val="1"/>
                <c:pt idx="0">
                  <c:v>Scallops</c:v>
                </c:pt>
              </c:strCache>
            </c:strRef>
          </c:tx>
          <c:spPr>
            <a:solidFill>
              <a:srgbClr val="E87308"/>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u250kW'!$I$163:$K$163</c:f>
              <c:numCache>
                <c:formatCode>0%</c:formatCode>
                <c:ptCount val="3"/>
                <c:pt idx="0">
                  <c:v>3.5085029451422896E-2</c:v>
                </c:pt>
                <c:pt idx="1">
                  <c:v>7.9358249632395031E-2</c:v>
                </c:pt>
                <c:pt idx="2">
                  <c:v>0.14190846389244058</c:v>
                </c:pt>
              </c:numCache>
            </c:numRef>
          </c:val>
          <c:extLst>
            <c:ext xmlns:c16="http://schemas.microsoft.com/office/drawing/2014/chart" uri="{C3380CC4-5D6E-409C-BE32-E72D297353CC}">
              <c16:uniqueId val="{00000001-EB7E-404E-8AC0-D0A6392B5114}"/>
            </c:ext>
          </c:extLst>
        </c:ser>
        <c:ser>
          <c:idx val="2"/>
          <c:order val="2"/>
          <c:tx>
            <c:strRef>
              <c:f>'Area VIIa nephrops u250kW'!$H$164</c:f>
              <c:strCache>
                <c:ptCount val="1"/>
                <c:pt idx="0">
                  <c:v>Haddock</c:v>
                </c:pt>
              </c:strCache>
            </c:strRef>
          </c:tx>
          <c:spPr>
            <a:solidFill>
              <a:srgbClr val="C1D119"/>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u250kW'!$I$164:$K$164</c:f>
              <c:numCache>
                <c:formatCode>0%</c:formatCode>
                <c:ptCount val="3"/>
                <c:pt idx="0">
                  <c:v>1.2649241537151374E-2</c:v>
                </c:pt>
                <c:pt idx="1">
                  <c:v>1.1803605867684147E-2</c:v>
                </c:pt>
                <c:pt idx="2">
                  <c:v>7.9175822396434295E-3</c:v>
                </c:pt>
              </c:numCache>
            </c:numRef>
          </c:val>
          <c:extLst>
            <c:ext xmlns:c16="http://schemas.microsoft.com/office/drawing/2014/chart" uri="{C3380CC4-5D6E-409C-BE32-E72D297353CC}">
              <c16:uniqueId val="{00000002-EB7E-404E-8AC0-D0A6392B5114}"/>
            </c:ext>
          </c:extLst>
        </c:ser>
        <c:ser>
          <c:idx val="3"/>
          <c:order val="3"/>
          <c:tx>
            <c:strRef>
              <c:f>'Area VIIa nephrops u250kW'!$H$165</c:f>
              <c:strCache>
                <c:ptCount val="1"/>
                <c:pt idx="0">
                  <c:v>Brown Crab</c:v>
                </c:pt>
              </c:strCache>
            </c:strRef>
          </c:tx>
          <c:spPr>
            <a:solidFill>
              <a:srgbClr val="707271"/>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u250kW'!$I$165:$K$165</c:f>
              <c:numCache>
                <c:formatCode>0%</c:formatCode>
                <c:ptCount val="3"/>
                <c:pt idx="0">
                  <c:v>0</c:v>
                </c:pt>
                <c:pt idx="1">
                  <c:v>1.0317830030427954E-2</c:v>
                </c:pt>
                <c:pt idx="2">
                  <c:v>0</c:v>
                </c:pt>
              </c:numCache>
            </c:numRef>
          </c:val>
          <c:extLst>
            <c:ext xmlns:c16="http://schemas.microsoft.com/office/drawing/2014/chart" uri="{C3380CC4-5D6E-409C-BE32-E72D297353CC}">
              <c16:uniqueId val="{00000003-EB7E-404E-8AC0-D0A6392B5114}"/>
            </c:ext>
          </c:extLst>
        </c:ser>
        <c:ser>
          <c:idx val="4"/>
          <c:order val="4"/>
          <c:tx>
            <c:strRef>
              <c:f>'Area VIIa nephrops u250kW'!$H$166</c:f>
              <c:strCache>
                <c:ptCount val="1"/>
                <c:pt idx="0">
                  <c:v>Anglerfish</c:v>
                </c:pt>
              </c:strCache>
            </c:strRef>
          </c:tx>
          <c:spPr>
            <a:solidFill>
              <a:srgbClr val="648C2E"/>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u250kW'!$I$166:$K$166</c:f>
              <c:numCache>
                <c:formatCode>0%</c:formatCode>
                <c:ptCount val="3"/>
                <c:pt idx="0">
                  <c:v>1.6081544957774467E-2</c:v>
                </c:pt>
                <c:pt idx="1">
                  <c:v>1.0259052956720393E-2</c:v>
                </c:pt>
                <c:pt idx="2">
                  <c:v>1.78187752607184E-2</c:v>
                </c:pt>
              </c:numCache>
            </c:numRef>
          </c:val>
          <c:extLst>
            <c:ext xmlns:c16="http://schemas.microsoft.com/office/drawing/2014/chart" uri="{C3380CC4-5D6E-409C-BE32-E72D297353CC}">
              <c16:uniqueId val="{00000004-EB7E-404E-8AC0-D0A6392B5114}"/>
            </c:ext>
          </c:extLst>
        </c:ser>
        <c:ser>
          <c:idx val="5"/>
          <c:order val="5"/>
          <c:tx>
            <c:strRef>
              <c:f>'Area VIIa nephrops u250kW'!$H$167</c:f>
              <c:strCache>
                <c:ptCount val="1"/>
                <c:pt idx="0">
                  <c:v>Queen Scallops</c:v>
                </c:pt>
              </c:strCache>
            </c:strRef>
          </c:tx>
          <c:spPr>
            <a:solidFill>
              <a:srgbClr val="51AA81"/>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u250kW'!$I$167:$K$167</c:f>
              <c:numCache>
                <c:formatCode>0%</c:formatCode>
                <c:ptCount val="3"/>
                <c:pt idx="0">
                  <c:v>0</c:v>
                </c:pt>
                <c:pt idx="1">
                  <c:v>0</c:v>
                </c:pt>
                <c:pt idx="2">
                  <c:v>1.3058565734941224E-2</c:v>
                </c:pt>
              </c:numCache>
            </c:numRef>
          </c:val>
          <c:extLst>
            <c:ext xmlns:c16="http://schemas.microsoft.com/office/drawing/2014/chart" uri="{C3380CC4-5D6E-409C-BE32-E72D297353CC}">
              <c16:uniqueId val="{00000005-EB7E-404E-8AC0-D0A6392B5114}"/>
            </c:ext>
          </c:extLst>
        </c:ser>
        <c:ser>
          <c:idx val="6"/>
          <c:order val="6"/>
          <c:tx>
            <c:strRef>
              <c:f>'Area VIIa nephrops u250kW'!$H$168</c:f>
              <c:strCache>
                <c:ptCount val="1"/>
                <c:pt idx="0">
                  <c:v>Brill</c:v>
                </c:pt>
              </c:strCache>
            </c:strRef>
          </c:tx>
          <c:spPr>
            <a:solidFill>
              <a:srgbClr val="E84A38"/>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u250kW'!$I$168:$K$168</c:f>
              <c:numCache>
                <c:formatCode>0%</c:formatCode>
                <c:ptCount val="3"/>
                <c:pt idx="0">
                  <c:v>8.9336118799233557E-3</c:v>
                </c:pt>
                <c:pt idx="1">
                  <c:v>0</c:v>
                </c:pt>
                <c:pt idx="2">
                  <c:v>0</c:v>
                </c:pt>
              </c:numCache>
            </c:numRef>
          </c:val>
          <c:extLst>
            <c:ext xmlns:c16="http://schemas.microsoft.com/office/drawing/2014/chart" uri="{C3380CC4-5D6E-409C-BE32-E72D297353CC}">
              <c16:uniqueId val="{00000006-EB7E-404E-8AC0-D0A6392B5114}"/>
            </c:ext>
          </c:extLst>
        </c:ser>
        <c:ser>
          <c:idx val="7"/>
          <c:order val="7"/>
          <c:tx>
            <c:strRef>
              <c:f>'Area VIIa nephrops u250kW'!$H$169</c:f>
              <c:strCache>
                <c:ptCount val="1"/>
                <c:pt idx="0">
                  <c:v>Others</c:v>
                </c:pt>
              </c:strCache>
            </c:strRef>
          </c:tx>
          <c:spPr>
            <a:solidFill>
              <a:srgbClr val="55585A"/>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u250kW'!$I$169:$K$169</c:f>
              <c:numCache>
                <c:formatCode>0%</c:formatCode>
                <c:ptCount val="3"/>
                <c:pt idx="0">
                  <c:v>4.1484451955148605E-2</c:v>
                </c:pt>
                <c:pt idx="1">
                  <c:v>3.2146063062019281E-2</c:v>
                </c:pt>
                <c:pt idx="2">
                  <c:v>3.1171644357571582E-2</c:v>
                </c:pt>
              </c:numCache>
            </c:numRef>
          </c:val>
          <c:extLst>
            <c:ext xmlns:c16="http://schemas.microsoft.com/office/drawing/2014/chart" uri="{C3380CC4-5D6E-409C-BE32-E72D297353CC}">
              <c16:uniqueId val="{00000007-EB7E-404E-8AC0-D0A6392B5114}"/>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250kW'!$A$49</c:f>
          <c:strCache>
            <c:ptCount val="1"/>
            <c:pt idx="0">
              <c:v>Fishing income per kW day at sea (£)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F6DB-4C7D-AC3C-245AA635FDCF}"/>
              </c:ext>
            </c:extLst>
          </c:dPt>
          <c:dPt>
            <c:idx val="10"/>
            <c:bubble3D val="0"/>
            <c:spPr>
              <a:ln w="57150">
                <a:solidFill>
                  <a:srgbClr val="648C2E"/>
                </a:solidFill>
                <a:prstDash val="sysDot"/>
              </a:ln>
            </c:spPr>
            <c:extLst>
              <c:ext xmlns:c16="http://schemas.microsoft.com/office/drawing/2014/chart" uri="{C3380CC4-5D6E-409C-BE32-E72D297353CC}">
                <c16:uniqueId val="{00000003-F6DB-4C7D-AC3C-245AA635FDCF}"/>
              </c:ext>
            </c:extLst>
          </c:dPt>
          <c:cat>
            <c:numRef>
              <c:f>'WOS nephrops over 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'WOS nephrops over 250kW'!$D$22:$N$22</c:f>
              <c:numCache>
                <c:formatCode>#,##0.00</c:formatCode>
                <c:ptCount val="11"/>
                <c:pt idx="0">
                  <c:v>5.2619155627027796</c:v>
                </c:pt>
                <c:pt idx="1">
                  <c:v>7.2466003668728902</c:v>
                </c:pt>
                <c:pt idx="2">
                  <c:v>7.4910731012035301</c:v>
                </c:pt>
                <c:pt idx="3">
                  <c:v>6.4942095422295898</c:v>
                </c:pt>
                <c:pt idx="4">
                  <c:v>6.4570022259812996</c:v>
                </c:pt>
                <c:pt idx="5">
                  <c:v>6.01144267056715</c:v>
                </c:pt>
                <c:pt idx="6">
                  <c:v>6.5274740386493004</c:v>
                </c:pt>
                <c:pt idx="7">
                  <c:v>6.2997816952764198</c:v>
                </c:pt>
                <c:pt idx="8">
                  <c:v>5.83667903520913</c:v>
                </c:pt>
                <c:pt idx="9">
                  <c:v>7.2724481238105803</c:v>
                </c:pt>
                <c:pt idx="10">
                  <c:v>4.4984559169399203</c:v>
                </c:pt>
              </c:numCache>
            </c:numRef>
          </c:val>
          <c:smooth val="0"/>
          <c:extLst>
            <c:ext xmlns:c16="http://schemas.microsoft.com/office/drawing/2014/chart" uri="{C3380CC4-5D6E-409C-BE32-E72D297353CC}">
              <c16:uniqueId val="{00000004-F6DB-4C7D-AC3C-245AA635FDCF}"/>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250kW'!$B$62</c:f>
          <c:strCache>
            <c:ptCount val="1"/>
            <c:pt idx="0">
              <c:v>Total cost per kW day at sea (£)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3DBA-403E-98B4-67700C4A7F59}"/>
              </c:ext>
            </c:extLst>
          </c:dPt>
          <c:dPt>
            <c:idx val="10"/>
            <c:bubble3D val="0"/>
            <c:spPr>
              <a:ln w="57150">
                <a:solidFill>
                  <a:srgbClr val="087CBB"/>
                </a:solidFill>
                <a:prstDash val="sysDot"/>
              </a:ln>
            </c:spPr>
            <c:extLst>
              <c:ext xmlns:c16="http://schemas.microsoft.com/office/drawing/2014/chart" uri="{C3380CC4-5D6E-409C-BE32-E72D297353CC}">
                <c16:uniqueId val="{00000003-3DBA-403E-98B4-67700C4A7F59}"/>
              </c:ext>
            </c:extLst>
          </c:dPt>
          <c:cat>
            <c:numRef>
              <c:f>'WOS nephrops over 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'WOS nephrops over 250kW'!$D$23:$N$23</c:f>
              <c:numCache>
                <c:formatCode>#,##0.00</c:formatCode>
                <c:ptCount val="11"/>
                <c:pt idx="0">
                  <c:v>4.8469986171483397</c:v>
                </c:pt>
                <c:pt idx="1">
                  <c:v>5.7332490158673703</c:v>
                </c:pt>
                <c:pt idx="2">
                  <c:v>6.1976301620630698</c:v>
                </c:pt>
                <c:pt idx="3">
                  <c:v>5.7752881295533598</c:v>
                </c:pt>
                <c:pt idx="4">
                  <c:v>5.64868768630856</c:v>
                </c:pt>
                <c:pt idx="5">
                  <c:v>5.2152263468321101</c:v>
                </c:pt>
                <c:pt idx="6">
                  <c:v>5.5061118687746999</c:v>
                </c:pt>
                <c:pt idx="7">
                  <c:v>5.86819311547894</c:v>
                </c:pt>
                <c:pt idx="8">
                  <c:v>5.7165595119223198</c:v>
                </c:pt>
                <c:pt idx="9">
                  <c:v>6.5600084755849801</c:v>
                </c:pt>
                <c:pt idx="10">
                  <c:v>4.9850260838299905</c:v>
                </c:pt>
              </c:numCache>
            </c:numRef>
          </c:val>
          <c:smooth val="0"/>
          <c:extLst>
            <c:ext xmlns:c16="http://schemas.microsoft.com/office/drawing/2014/chart" uri="{C3380CC4-5D6E-409C-BE32-E72D297353CC}">
              <c16:uniqueId val="{00000004-3DBA-403E-98B4-67700C4A7F59}"/>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250kW'!$K$48</c:f>
          <c:strCache>
            <c:ptCount val="1"/>
            <c:pt idx="0">
              <c:v>Operating profit per kW day at sea (£)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95EB-4E7E-AF40-0907E8E85C9A}"/>
              </c:ext>
            </c:extLst>
          </c:dPt>
          <c:dPt>
            <c:idx val="10"/>
            <c:bubble3D val="0"/>
            <c:spPr>
              <a:ln w="57150">
                <a:solidFill>
                  <a:schemeClr val="accent3"/>
                </a:solidFill>
                <a:prstDash val="sysDot"/>
              </a:ln>
            </c:spPr>
            <c:extLst>
              <c:ext xmlns:c16="http://schemas.microsoft.com/office/drawing/2014/chart" uri="{C3380CC4-5D6E-409C-BE32-E72D297353CC}">
                <c16:uniqueId val="{00000003-95EB-4E7E-AF40-0907E8E85C9A}"/>
              </c:ext>
            </c:extLst>
          </c:dPt>
          <c:cat>
            <c:numRef>
              <c:f>'WOS nephrops over 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'WOS nephrops over 250kW'!$D$24:$N$24</c:f>
              <c:numCache>
                <c:formatCode>#,##0.00</c:formatCode>
                <c:ptCount val="11"/>
                <c:pt idx="0">
                  <c:v>0.54255741605739205</c:v>
                </c:pt>
                <c:pt idx="1">
                  <c:v>1.58804894681349</c:v>
                </c:pt>
                <c:pt idx="2">
                  <c:v>1.7053312052804099</c:v>
                </c:pt>
                <c:pt idx="3">
                  <c:v>0.84291184440705103</c:v>
                </c:pt>
                <c:pt idx="4">
                  <c:v>1.3405835164352899</c:v>
                </c:pt>
                <c:pt idx="5">
                  <c:v>0.95344438945821297</c:v>
                </c:pt>
                <c:pt idx="6">
                  <c:v>1.1428116193436999</c:v>
                </c:pt>
                <c:pt idx="7">
                  <c:v>0.93987305129881804</c:v>
                </c:pt>
                <c:pt idx="8">
                  <c:v>0.28772867231397797</c:v>
                </c:pt>
                <c:pt idx="9">
                  <c:v>0.93763850638165702</c:v>
                </c:pt>
                <c:pt idx="10">
                  <c:v>-3.4065385765346379E-3</c:v>
                </c:pt>
              </c:numCache>
            </c:numRef>
          </c:val>
          <c:smooth val="0"/>
          <c:extLst>
            <c:ext xmlns:c16="http://schemas.microsoft.com/office/drawing/2014/chart" uri="{C3380CC4-5D6E-409C-BE32-E72D297353CC}">
              <c16:uniqueId val="{00000004-95EB-4E7E-AF40-0907E8E85C9A}"/>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250kW'!$A$50</c:f>
          <c:strCache>
            <c:ptCount val="1"/>
            <c:pt idx="0">
              <c:v>Average price per tonne landed (£)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A8B6-4372-A498-BB3A6CFD2EF0}"/>
              </c:ext>
            </c:extLst>
          </c:dPt>
          <c:dPt>
            <c:idx val="10"/>
            <c:bubble3D val="0"/>
            <c:spPr>
              <a:ln w="57150">
                <a:solidFill>
                  <a:schemeClr val="accent4"/>
                </a:solidFill>
                <a:prstDash val="sysDot"/>
              </a:ln>
            </c:spPr>
            <c:extLst>
              <c:ext xmlns:c16="http://schemas.microsoft.com/office/drawing/2014/chart" uri="{C3380CC4-5D6E-409C-BE32-E72D297353CC}">
                <c16:uniqueId val="{00000003-A8B6-4372-A498-BB3A6CFD2EF0}"/>
              </c:ext>
            </c:extLst>
          </c:dPt>
          <c:cat>
            <c:numRef>
              <c:f>'WOS nephrops over 250kW'!$D$2:$M$2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'WOS nephrops over 250kW'!$D$20:$N$20</c:f>
              <c:numCache>
                <c:formatCode>#,##0</c:formatCode>
                <c:ptCount val="11"/>
                <c:pt idx="0">
                  <c:v>2345</c:v>
                </c:pt>
                <c:pt idx="1">
                  <c:v>2698</c:v>
                </c:pt>
                <c:pt idx="2">
                  <c:v>2504</c:v>
                </c:pt>
                <c:pt idx="3">
                  <c:v>2539</c:v>
                </c:pt>
                <c:pt idx="4">
                  <c:v>2459</c:v>
                </c:pt>
                <c:pt idx="5">
                  <c:v>2643</c:v>
                </c:pt>
                <c:pt idx="6">
                  <c:v>2403</c:v>
                </c:pt>
                <c:pt idx="7">
                  <c:v>2473</c:v>
                </c:pt>
                <c:pt idx="8">
                  <c:v>3151</c:v>
                </c:pt>
                <c:pt idx="9">
                  <c:v>2875</c:v>
                </c:pt>
                <c:pt idx="10">
                  <c:v>1981</c:v>
                </c:pt>
              </c:numCache>
            </c:numRef>
          </c:val>
          <c:smooth val="0"/>
          <c:extLst>
            <c:ext xmlns:c16="http://schemas.microsoft.com/office/drawing/2014/chart" uri="{C3380CC4-5D6E-409C-BE32-E72D297353CC}">
              <c16:uniqueId val="{00000004-A8B6-4372-A498-BB3A6CFD2EF0}"/>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250kW'!$K$62</c:f>
          <c:strCache>
            <c:ptCount val="1"/>
            <c:pt idx="0">
              <c:v>Average annual operating profit per vessel (£'000)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8504-4EA9-980E-780FE2FE1523}"/>
              </c:ext>
            </c:extLst>
          </c:dPt>
          <c:dPt>
            <c:idx val="10"/>
            <c:bubble3D val="0"/>
            <c:spPr>
              <a:ln w="57150">
                <a:solidFill>
                  <a:schemeClr val="accent5"/>
                </a:solidFill>
                <a:prstDash val="sysDot"/>
              </a:ln>
            </c:spPr>
            <c:extLst>
              <c:ext xmlns:c16="http://schemas.microsoft.com/office/drawing/2014/chart" uri="{C3380CC4-5D6E-409C-BE32-E72D297353CC}">
                <c16:uniqueId val="{00000003-8504-4EA9-980E-780FE2FE1523}"/>
              </c:ext>
            </c:extLst>
          </c:dPt>
          <c:cat>
            <c:numRef>
              <c:f>'WOS nephrops over 250kW'!$D$2:$M$2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'WOS nephrops over 250kW'!$D$37:$N$37</c:f>
              <c:numCache>
                <c:formatCode>#,##0.0</c:formatCode>
                <c:ptCount val="11"/>
                <c:pt idx="0">
                  <c:v>30.9</c:v>
                </c:pt>
                <c:pt idx="1">
                  <c:v>85.1</c:v>
                </c:pt>
                <c:pt idx="2">
                  <c:v>101</c:v>
                </c:pt>
                <c:pt idx="3">
                  <c:v>50.1</c:v>
                </c:pt>
                <c:pt idx="4">
                  <c:v>83.8</c:v>
                </c:pt>
                <c:pt idx="5">
                  <c:v>56.7</c:v>
                </c:pt>
                <c:pt idx="6">
                  <c:v>71.400000000000006</c:v>
                </c:pt>
                <c:pt idx="7">
                  <c:v>54.6</c:v>
                </c:pt>
                <c:pt idx="8">
                  <c:v>15.6</c:v>
                </c:pt>
                <c:pt idx="9">
                  <c:v>53.5</c:v>
                </c:pt>
                <c:pt idx="10">
                  <c:v>-0.1</c:v>
                </c:pt>
              </c:numCache>
            </c:numRef>
          </c:val>
          <c:smooth val="0"/>
          <c:extLst>
            <c:ext xmlns:c16="http://schemas.microsoft.com/office/drawing/2014/chart" uri="{C3380CC4-5D6E-409C-BE32-E72D297353CC}">
              <c16:uniqueId val="{00000004-8504-4EA9-980E-780FE2FE1523}"/>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over 250kW'!$A$76</c:f>
          <c:strCache>
            <c:ptCount val="1"/>
            <c:pt idx="0">
              <c:v>Top 5 landed species by volume in 2019
WOS nephrops over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4106-4B1A-9295-338BB30E0625}"/>
              </c:ext>
            </c:extLst>
          </c:dPt>
          <c:dPt>
            <c:idx val="1"/>
            <c:bubble3D val="0"/>
            <c:spPr>
              <a:solidFill>
                <a:srgbClr val="C1D119"/>
              </a:solidFill>
              <a:ln>
                <a:solidFill>
                  <a:srgbClr val="FFFFFF"/>
                </a:solidFill>
              </a:ln>
            </c:spPr>
            <c:extLst>
              <c:ext xmlns:c16="http://schemas.microsoft.com/office/drawing/2014/chart" uri="{C3380CC4-5D6E-409C-BE32-E72D297353CC}">
                <c16:uniqueId val="{00000003-4106-4B1A-9295-338BB30E0625}"/>
              </c:ext>
            </c:extLst>
          </c:dPt>
          <c:dPt>
            <c:idx val="2"/>
            <c:bubble3D val="0"/>
            <c:spPr>
              <a:solidFill>
                <a:srgbClr val="E87308"/>
              </a:solidFill>
              <a:ln>
                <a:solidFill>
                  <a:srgbClr val="FFFFFF"/>
                </a:solidFill>
              </a:ln>
            </c:spPr>
            <c:extLst>
              <c:ext xmlns:c16="http://schemas.microsoft.com/office/drawing/2014/chart" uri="{C3380CC4-5D6E-409C-BE32-E72D297353CC}">
                <c16:uniqueId val="{00000005-4106-4B1A-9295-338BB30E0625}"/>
              </c:ext>
            </c:extLst>
          </c:dPt>
          <c:dPt>
            <c:idx val="3"/>
            <c:bubble3D val="0"/>
            <c:spPr>
              <a:solidFill>
                <a:srgbClr val="648C2E"/>
              </a:solidFill>
              <a:ln>
                <a:solidFill>
                  <a:srgbClr val="FFFFFF"/>
                </a:solidFill>
              </a:ln>
            </c:spPr>
            <c:extLst>
              <c:ext xmlns:c16="http://schemas.microsoft.com/office/drawing/2014/chart" uri="{C3380CC4-5D6E-409C-BE32-E72D297353CC}">
                <c16:uniqueId val="{00000007-4106-4B1A-9295-338BB30E0625}"/>
              </c:ext>
            </c:extLst>
          </c:dPt>
          <c:dPt>
            <c:idx val="4"/>
            <c:bubble3D val="0"/>
            <c:spPr>
              <a:solidFill>
                <a:srgbClr val="0F9AA9"/>
              </a:solidFill>
              <a:ln>
                <a:solidFill>
                  <a:srgbClr val="FFFFFF"/>
                </a:solidFill>
              </a:ln>
            </c:spPr>
            <c:extLst>
              <c:ext xmlns:c16="http://schemas.microsoft.com/office/drawing/2014/chart" uri="{C3380CC4-5D6E-409C-BE32-E72D297353CC}">
                <c16:uniqueId val="{00000009-4106-4B1A-9295-338BB30E0625}"/>
              </c:ext>
            </c:extLst>
          </c:dPt>
          <c:dPt>
            <c:idx val="5"/>
            <c:bubble3D val="0"/>
            <c:spPr>
              <a:solidFill>
                <a:srgbClr val="55585A"/>
              </a:solidFill>
              <a:ln>
                <a:solidFill>
                  <a:srgbClr val="FFFFFF"/>
                </a:solidFill>
              </a:ln>
            </c:spPr>
            <c:extLst>
              <c:ext xmlns:c16="http://schemas.microsoft.com/office/drawing/2014/chart" uri="{C3380CC4-5D6E-409C-BE32-E72D297353CC}">
                <c16:uniqueId val="{0000000B-4106-4B1A-9295-338BB30E0625}"/>
              </c:ext>
            </c:extLst>
          </c:dPt>
          <c:cat>
            <c:strRef>
              <c:f>'WOS nephrops over 250kW'!$B$77:$B$82</c:f>
              <c:strCache>
                <c:ptCount val="6"/>
                <c:pt idx="0">
                  <c:v>Nephrops - 66.1%</c:v>
                </c:pt>
                <c:pt idx="1">
                  <c:v>Sprats - 15.5%</c:v>
                </c:pt>
                <c:pt idx="2">
                  <c:v>Squid - 4.5%</c:v>
                </c:pt>
                <c:pt idx="3">
                  <c:v>Anglerfish - 3.7%</c:v>
                </c:pt>
                <c:pt idx="4">
                  <c:v>Haddock - 1.6%</c:v>
                </c:pt>
                <c:pt idx="5">
                  <c:v>Others - 8.5%</c:v>
                </c:pt>
              </c:strCache>
            </c:strRef>
          </c:cat>
          <c:val>
            <c:numRef>
              <c:f>'WOS nephrops over 250kW'!$C$77:$C$82</c:f>
              <c:numCache>
                <c:formatCode>0.0%</c:formatCode>
                <c:ptCount val="6"/>
                <c:pt idx="0">
                  <c:v>0.66087341091250196</c:v>
                </c:pt>
                <c:pt idx="1">
                  <c:v>0.15513734679351313</c:v>
                </c:pt>
                <c:pt idx="2">
                  <c:v>4.5238617225241681E-2</c:v>
                </c:pt>
                <c:pt idx="3">
                  <c:v>3.7058865572143156E-2</c:v>
                </c:pt>
                <c:pt idx="4">
                  <c:v>1.6253361191608674E-2</c:v>
                </c:pt>
                <c:pt idx="5">
                  <c:v>8.5438398304991447E-2</c:v>
                </c:pt>
              </c:numCache>
            </c:numRef>
          </c:val>
          <c:extLst>
            <c:ext xmlns:c16="http://schemas.microsoft.com/office/drawing/2014/chart" uri="{C3380CC4-5D6E-409C-BE32-E72D297353CC}">
              <c16:uniqueId val="{0000000C-4106-4B1A-9295-338BB30E0625}"/>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over 250kW'!$F$76</c:f>
          <c:strCache>
            <c:ptCount val="1"/>
            <c:pt idx="0">
              <c:v>Top 5 landed species by value in 2019
WOS nephrops over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354A-4494-96C4-3C5E4934586F}"/>
              </c:ext>
            </c:extLst>
          </c:dPt>
          <c:dPt>
            <c:idx val="1"/>
            <c:bubble3D val="0"/>
            <c:spPr>
              <a:solidFill>
                <a:srgbClr val="E87308"/>
              </a:solidFill>
              <a:ln>
                <a:solidFill>
                  <a:srgbClr val="FFFFFF"/>
                </a:solidFill>
              </a:ln>
            </c:spPr>
            <c:extLst>
              <c:ext xmlns:c16="http://schemas.microsoft.com/office/drawing/2014/chart" uri="{C3380CC4-5D6E-409C-BE32-E72D297353CC}">
                <c16:uniqueId val="{00000003-354A-4494-96C4-3C5E4934586F}"/>
              </c:ext>
            </c:extLst>
          </c:dPt>
          <c:dPt>
            <c:idx val="2"/>
            <c:bubble3D val="0"/>
            <c:spPr>
              <a:solidFill>
                <a:srgbClr val="648C2E"/>
              </a:solidFill>
              <a:ln>
                <a:solidFill>
                  <a:srgbClr val="FFFFFF"/>
                </a:solidFill>
              </a:ln>
            </c:spPr>
            <c:extLst>
              <c:ext xmlns:c16="http://schemas.microsoft.com/office/drawing/2014/chart" uri="{C3380CC4-5D6E-409C-BE32-E72D297353CC}">
                <c16:uniqueId val="{00000005-354A-4494-96C4-3C5E4934586F}"/>
              </c:ext>
            </c:extLst>
          </c:dPt>
          <c:dPt>
            <c:idx val="3"/>
            <c:bubble3D val="0"/>
            <c:spPr>
              <a:solidFill>
                <a:srgbClr val="C1D119"/>
              </a:solidFill>
              <a:ln>
                <a:solidFill>
                  <a:srgbClr val="FFFFFF"/>
                </a:solidFill>
              </a:ln>
            </c:spPr>
            <c:extLst>
              <c:ext xmlns:c16="http://schemas.microsoft.com/office/drawing/2014/chart" uri="{C3380CC4-5D6E-409C-BE32-E72D297353CC}">
                <c16:uniqueId val="{00000007-354A-4494-96C4-3C5E4934586F}"/>
              </c:ext>
            </c:extLst>
          </c:dPt>
          <c:dPt>
            <c:idx val="4"/>
            <c:bubble3D val="0"/>
            <c:spPr>
              <a:solidFill>
                <a:srgbClr val="E84A38"/>
              </a:solidFill>
              <a:ln>
                <a:solidFill>
                  <a:srgbClr val="FFFFFF"/>
                </a:solidFill>
              </a:ln>
            </c:spPr>
            <c:extLst>
              <c:ext xmlns:c16="http://schemas.microsoft.com/office/drawing/2014/chart" uri="{C3380CC4-5D6E-409C-BE32-E72D297353CC}">
                <c16:uniqueId val="{00000009-354A-4494-96C4-3C5E4934586F}"/>
              </c:ext>
            </c:extLst>
          </c:dPt>
          <c:dPt>
            <c:idx val="5"/>
            <c:bubble3D val="0"/>
            <c:spPr>
              <a:solidFill>
                <a:srgbClr val="55585A"/>
              </a:solidFill>
              <a:ln>
                <a:solidFill>
                  <a:srgbClr val="FFFFFF"/>
                </a:solidFill>
              </a:ln>
            </c:spPr>
            <c:extLst>
              <c:ext xmlns:c16="http://schemas.microsoft.com/office/drawing/2014/chart" uri="{C3380CC4-5D6E-409C-BE32-E72D297353CC}">
                <c16:uniqueId val="{0000000B-354A-4494-96C4-3C5E4934586F}"/>
              </c:ext>
            </c:extLst>
          </c:dPt>
          <c:cat>
            <c:strRef>
              <c:f>'WOS nephrops over 250kW'!$G$77:$G$82</c:f>
              <c:strCache>
                <c:ptCount val="6"/>
                <c:pt idx="0">
                  <c:v>Nephrops - 78.8%</c:v>
                </c:pt>
                <c:pt idx="1">
                  <c:v>Squid - 8.5%</c:v>
                </c:pt>
                <c:pt idx="2">
                  <c:v>Anglerfish - 4.4%</c:v>
                </c:pt>
                <c:pt idx="3">
                  <c:v>Sprats - 1.5%</c:v>
                </c:pt>
                <c:pt idx="4">
                  <c:v>Cod - 1.2%</c:v>
                </c:pt>
                <c:pt idx="5">
                  <c:v>Others - 5.7%</c:v>
                </c:pt>
              </c:strCache>
            </c:strRef>
          </c:cat>
          <c:val>
            <c:numRef>
              <c:f>'WOS nephrops over 250kW'!$H$77:$H$82</c:f>
              <c:numCache>
                <c:formatCode>0.0%</c:formatCode>
                <c:ptCount val="6"/>
                <c:pt idx="0">
                  <c:v>0.78797196729224994</c:v>
                </c:pt>
                <c:pt idx="1">
                  <c:v>8.5151813399829357E-2</c:v>
                </c:pt>
                <c:pt idx="2">
                  <c:v>4.3752480823634976E-2</c:v>
                </c:pt>
                <c:pt idx="3">
                  <c:v>1.4573490373868729E-2</c:v>
                </c:pt>
                <c:pt idx="4">
                  <c:v>1.2050043721408363E-2</c:v>
                </c:pt>
                <c:pt idx="5">
                  <c:v>5.6500204389008712E-2</c:v>
                </c:pt>
              </c:numCache>
            </c:numRef>
          </c:val>
          <c:extLst>
            <c:ext xmlns:c16="http://schemas.microsoft.com/office/drawing/2014/chart" uri="{C3380CC4-5D6E-409C-BE32-E72D297353CC}">
              <c16:uniqueId val="{0000000C-354A-4494-96C4-3C5E4934586F}"/>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over 250kW'!$K$77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'WOS nephrops over 250kW'!$C$92</c:f>
              <c:strCache>
                <c:ptCount val="1"/>
                <c:pt idx="0">
                  <c:v>Nephrops</c:v>
                </c:pt>
              </c:strCache>
            </c:strRef>
          </c:tx>
          <c:spPr>
            <a:solidFill>
              <a:srgbClr val="2273B9"/>
            </a:solidFill>
            <a:ln>
              <a:solidFill>
                <a:srgbClr val="FFFFFF"/>
              </a:solidFill>
            </a:ln>
          </c:spPr>
          <c:invertIfNegative val="0"/>
          <c:cat>
            <c:numRef>
              <c:f>'WOS nephrops over 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over 250kW'!$D$92:$M$92</c:f>
              <c:numCache>
                <c:formatCode>0%</c:formatCode>
                <c:ptCount val="10"/>
                <c:pt idx="0">
                  <c:v>0.9337323042581186</c:v>
                </c:pt>
                <c:pt idx="1">
                  <c:v>0.91943309379649329</c:v>
                </c:pt>
                <c:pt idx="2">
                  <c:v>0.93126832345099486</c:v>
                </c:pt>
                <c:pt idx="3">
                  <c:v>0.91807383408086729</c:v>
                </c:pt>
                <c:pt idx="4">
                  <c:v>0.9174952671797485</c:v>
                </c:pt>
                <c:pt idx="5">
                  <c:v>0.90393682729957858</c:v>
                </c:pt>
                <c:pt idx="6">
                  <c:v>0.88710845209298883</c:v>
                </c:pt>
                <c:pt idx="7">
                  <c:v>0.91508897991877314</c:v>
                </c:pt>
                <c:pt idx="8">
                  <c:v>0.78797196729224994</c:v>
                </c:pt>
                <c:pt idx="9">
                  <c:v>0.92325887959707353</c:v>
                </c:pt>
              </c:numCache>
            </c:numRef>
          </c:val>
          <c:extLst>
            <c:ext xmlns:c16="http://schemas.microsoft.com/office/drawing/2014/chart" uri="{C3380CC4-5D6E-409C-BE32-E72D297353CC}">
              <c16:uniqueId val="{00000000-EB70-4A20-86F6-B0CCC32DF2B2}"/>
            </c:ext>
          </c:extLst>
        </c:ser>
        <c:ser>
          <c:idx val="1"/>
          <c:order val="1"/>
          <c:tx>
            <c:strRef>
              <c:f>'WOS nephrops over 250kW'!$C$93</c:f>
              <c:strCache>
                <c:ptCount val="1"/>
                <c:pt idx="0">
                  <c:v>Squid</c:v>
                </c:pt>
              </c:strCache>
            </c:strRef>
          </c:tx>
          <c:spPr>
            <a:solidFill>
              <a:srgbClr val="E87308"/>
            </a:solidFill>
            <a:ln>
              <a:solidFill>
                <a:srgbClr val="FFFFFF"/>
              </a:solidFill>
            </a:ln>
          </c:spPr>
          <c:invertIfNegative val="0"/>
          <c:cat>
            <c:numRef>
              <c:f>'WOS nephrops over 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over 250kW'!$D$93:$M$93</c:f>
              <c:numCache>
                <c:formatCode>0%</c:formatCode>
                <c:ptCount val="10"/>
                <c:pt idx="3">
                  <c:v>8.671942962357633E-3</c:v>
                </c:pt>
                <c:pt idx="6">
                  <c:v>1.6611758190301067E-2</c:v>
                </c:pt>
                <c:pt idx="7">
                  <c:v>1.5907261911607871E-2</c:v>
                </c:pt>
                <c:pt idx="8">
                  <c:v>8.5151813399829357E-2</c:v>
                </c:pt>
                <c:pt idx="9">
                  <c:v>2.0362934195954949E-2</c:v>
                </c:pt>
              </c:numCache>
            </c:numRef>
          </c:val>
          <c:extLst>
            <c:ext xmlns:c16="http://schemas.microsoft.com/office/drawing/2014/chart" uri="{C3380CC4-5D6E-409C-BE32-E72D297353CC}">
              <c16:uniqueId val="{00000001-EB70-4A20-86F6-B0CCC32DF2B2}"/>
            </c:ext>
          </c:extLst>
        </c:ser>
        <c:ser>
          <c:idx val="2"/>
          <c:order val="2"/>
          <c:tx>
            <c:strRef>
              <c:f>'WOS nephrops over 250kW'!$C$94</c:f>
              <c:strCache>
                <c:ptCount val="1"/>
                <c:pt idx="0">
                  <c:v>Anglerfish</c:v>
                </c:pt>
              </c:strCache>
            </c:strRef>
          </c:tx>
          <c:spPr>
            <a:solidFill>
              <a:srgbClr val="648C2E"/>
            </a:solidFill>
            <a:ln>
              <a:solidFill>
                <a:srgbClr val="FFFFFF"/>
              </a:solidFill>
            </a:ln>
          </c:spPr>
          <c:invertIfNegative val="0"/>
          <c:cat>
            <c:numRef>
              <c:f>'WOS nephrops over 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over 250kW'!$D$94:$M$94</c:f>
              <c:numCache>
                <c:formatCode>0%</c:formatCode>
                <c:ptCount val="10"/>
                <c:pt idx="0">
                  <c:v>1.3344165971377307E-2</c:v>
                </c:pt>
                <c:pt idx="1">
                  <c:v>1.274600107218702E-2</c:v>
                </c:pt>
                <c:pt idx="2">
                  <c:v>1.5107256187754357E-2</c:v>
                </c:pt>
                <c:pt idx="3">
                  <c:v>1.5684346272758675E-2</c:v>
                </c:pt>
                <c:pt idx="4">
                  <c:v>3.0322621399217063E-2</c:v>
                </c:pt>
                <c:pt idx="5">
                  <c:v>2.9032363209429996E-2</c:v>
                </c:pt>
                <c:pt idx="6">
                  <c:v>2.4396918433128429E-2</c:v>
                </c:pt>
                <c:pt idx="7">
                  <c:v>3.1632530033876331E-2</c:v>
                </c:pt>
                <c:pt idx="8">
                  <c:v>4.3752480823634976E-2</c:v>
                </c:pt>
                <c:pt idx="9">
                  <c:v>1.6789597080616961E-2</c:v>
                </c:pt>
              </c:numCache>
            </c:numRef>
          </c:val>
          <c:extLst>
            <c:ext xmlns:c16="http://schemas.microsoft.com/office/drawing/2014/chart" uri="{C3380CC4-5D6E-409C-BE32-E72D297353CC}">
              <c16:uniqueId val="{00000002-EB70-4A20-86F6-B0CCC32DF2B2}"/>
            </c:ext>
          </c:extLst>
        </c:ser>
        <c:ser>
          <c:idx val="3"/>
          <c:order val="3"/>
          <c:tx>
            <c:strRef>
              <c:f>'WOS nephrops over 250kW'!$C$95</c:f>
              <c:strCache>
                <c:ptCount val="1"/>
                <c:pt idx="0">
                  <c:v>Sprats</c:v>
                </c:pt>
              </c:strCache>
            </c:strRef>
          </c:tx>
          <c:spPr>
            <a:solidFill>
              <a:srgbClr val="C1D119"/>
            </a:solidFill>
            <a:ln>
              <a:solidFill>
                <a:srgbClr val="FFFFFF"/>
              </a:solidFill>
            </a:ln>
          </c:spPr>
          <c:invertIfNegative val="0"/>
          <c:cat>
            <c:numRef>
              <c:f>'WOS nephrops over 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over 250kW'!$D$95:$M$95</c:f>
              <c:numCache>
                <c:formatCode>0%</c:formatCode>
                <c:ptCount val="10"/>
                <c:pt idx="0">
                  <c:v>1.1554941098813307E-2</c:v>
                </c:pt>
                <c:pt idx="1">
                  <c:v>2.8373227308299005E-2</c:v>
                </c:pt>
                <c:pt idx="2">
                  <c:v>1.8609151696166691E-2</c:v>
                </c:pt>
                <c:pt idx="3">
                  <c:v>2.6568068637269692E-2</c:v>
                </c:pt>
                <c:pt idx="4">
                  <c:v>1.9552337169447306E-2</c:v>
                </c:pt>
                <c:pt idx="5">
                  <c:v>2.7197899656840215E-2</c:v>
                </c:pt>
                <c:pt idx="6">
                  <c:v>2.1176848875785054E-2</c:v>
                </c:pt>
                <c:pt idx="8">
                  <c:v>1.4573490373868729E-2</c:v>
                </c:pt>
                <c:pt idx="9">
                  <c:v>1.9315628691117592E-2</c:v>
                </c:pt>
              </c:numCache>
            </c:numRef>
          </c:val>
          <c:extLst>
            <c:ext xmlns:c16="http://schemas.microsoft.com/office/drawing/2014/chart" uri="{C3380CC4-5D6E-409C-BE32-E72D297353CC}">
              <c16:uniqueId val="{00000003-EB70-4A20-86F6-B0CCC32DF2B2}"/>
            </c:ext>
          </c:extLst>
        </c:ser>
        <c:ser>
          <c:idx val="4"/>
          <c:order val="4"/>
          <c:tx>
            <c:strRef>
              <c:f>'WOS nephrops over 250kW'!$C$96</c:f>
              <c:strCache>
                <c:ptCount val="1"/>
                <c:pt idx="0">
                  <c:v>Cod</c:v>
                </c:pt>
              </c:strCache>
            </c:strRef>
          </c:tx>
          <c:spPr>
            <a:solidFill>
              <a:srgbClr val="E84A38"/>
            </a:solidFill>
            <a:ln>
              <a:solidFill>
                <a:srgbClr val="FFFFFF"/>
              </a:solidFill>
            </a:ln>
          </c:spPr>
          <c:invertIfNegative val="0"/>
          <c:cat>
            <c:numRef>
              <c:f>'WOS nephrops over 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over 250kW'!$D$96:$M$96</c:f>
              <c:numCache>
                <c:formatCode>0%</c:formatCode>
                <c:ptCount val="10"/>
                <c:pt idx="5">
                  <c:v>3.571773980461687E-3</c:v>
                </c:pt>
                <c:pt idx="8">
                  <c:v>1.2050043721408363E-2</c:v>
                </c:pt>
              </c:numCache>
            </c:numRef>
          </c:val>
          <c:extLst>
            <c:ext xmlns:c16="http://schemas.microsoft.com/office/drawing/2014/chart" uri="{C3380CC4-5D6E-409C-BE32-E72D297353CC}">
              <c16:uniqueId val="{00000004-EB70-4A20-86F6-B0CCC32DF2B2}"/>
            </c:ext>
          </c:extLst>
        </c:ser>
        <c:ser>
          <c:idx val="5"/>
          <c:order val="5"/>
          <c:tx>
            <c:strRef>
              <c:f>'WOS nephrops over 250kW'!$C$97</c:f>
              <c:strCache>
                <c:ptCount val="1"/>
                <c:pt idx="0">
                  <c:v>Haddock</c:v>
                </c:pt>
              </c:strCache>
            </c:strRef>
          </c:tx>
          <c:spPr>
            <a:solidFill>
              <a:srgbClr val="0F9AA9"/>
            </a:solidFill>
            <a:ln>
              <a:solidFill>
                <a:srgbClr val="FFFFFF"/>
              </a:solidFill>
            </a:ln>
          </c:spPr>
          <c:invertIfNegative val="0"/>
          <c:cat>
            <c:numRef>
              <c:f>'WOS nephrops over 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over 250kW'!$D$97:$M$97</c:f>
              <c:numCache>
                <c:formatCode>0%</c:formatCode>
                <c:ptCount val="10"/>
                <c:pt idx="1">
                  <c:v>1.1051857190903829E-2</c:v>
                </c:pt>
                <c:pt idx="2">
                  <c:v>1.1591821444137743E-2</c:v>
                </c:pt>
                <c:pt idx="3">
                  <c:v>9.7292073950730786E-3</c:v>
                </c:pt>
                <c:pt idx="4">
                  <c:v>9.0728109939999333E-3</c:v>
                </c:pt>
                <c:pt idx="5">
                  <c:v>1.2197501906653993E-2</c:v>
                </c:pt>
                <c:pt idx="6">
                  <c:v>1.6353345325845387E-2</c:v>
                </c:pt>
                <c:pt idx="7">
                  <c:v>1.289433313588809E-2</c:v>
                </c:pt>
                <c:pt idx="9">
                  <c:v>6.5026945896930642E-3</c:v>
                </c:pt>
              </c:numCache>
            </c:numRef>
          </c:val>
          <c:extLst>
            <c:ext xmlns:c16="http://schemas.microsoft.com/office/drawing/2014/chart" uri="{C3380CC4-5D6E-409C-BE32-E72D297353CC}">
              <c16:uniqueId val="{00000005-EB70-4A20-86F6-B0CCC32DF2B2}"/>
            </c:ext>
          </c:extLst>
        </c:ser>
        <c:ser>
          <c:idx val="6"/>
          <c:order val="6"/>
          <c:tx>
            <c:strRef>
              <c:f>'WOS nephrops over 250kW'!$C$98</c:f>
              <c:strCache>
                <c:ptCount val="1"/>
                <c:pt idx="0">
                  <c:v>Scallops</c:v>
                </c:pt>
              </c:strCache>
            </c:strRef>
          </c:tx>
          <c:spPr>
            <a:solidFill>
              <a:srgbClr val="FED825"/>
            </a:solidFill>
            <a:ln>
              <a:solidFill>
                <a:srgbClr val="FFFFFF"/>
              </a:solidFill>
            </a:ln>
          </c:spPr>
          <c:invertIfNegative val="0"/>
          <c:cat>
            <c:numRef>
              <c:f>'WOS nephrops over 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over 250kW'!$D$98:$M$98</c:f>
              <c:numCache>
                <c:formatCode>0%</c:formatCode>
                <c:ptCount val="10"/>
                <c:pt idx="4">
                  <c:v>3.7888634672335413E-3</c:v>
                </c:pt>
                <c:pt idx="7">
                  <c:v>5.1791535014406075E-3</c:v>
                </c:pt>
              </c:numCache>
            </c:numRef>
          </c:val>
          <c:extLst>
            <c:ext xmlns:c16="http://schemas.microsoft.com/office/drawing/2014/chart" uri="{C3380CC4-5D6E-409C-BE32-E72D297353CC}">
              <c16:uniqueId val="{00000006-EB70-4A20-86F6-B0CCC32DF2B2}"/>
            </c:ext>
          </c:extLst>
        </c:ser>
        <c:ser>
          <c:idx val="7"/>
          <c:order val="7"/>
          <c:tx>
            <c:strRef>
              <c:f>'WOS nephrops over 250kW'!$C$99</c:f>
              <c:strCache>
                <c:ptCount val="1"/>
                <c:pt idx="0">
                  <c:v>Whiting</c:v>
                </c:pt>
              </c:strCache>
            </c:strRef>
          </c:tx>
          <c:spPr>
            <a:solidFill>
              <a:srgbClr val="707271"/>
            </a:solidFill>
            <a:ln>
              <a:solidFill>
                <a:srgbClr val="FFFFFF"/>
              </a:solidFill>
            </a:ln>
          </c:spPr>
          <c:invertIfNegative val="0"/>
          <c:cat>
            <c:numRef>
              <c:f>'WOS nephrops over 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over 250kW'!$D$99:$M$99</c:f>
              <c:numCache>
                <c:formatCode>0%</c:formatCode>
                <c:ptCount val="10"/>
                <c:pt idx="2">
                  <c:v>2.9408840139693838E-3</c:v>
                </c:pt>
              </c:numCache>
            </c:numRef>
          </c:val>
          <c:extLst>
            <c:ext xmlns:c16="http://schemas.microsoft.com/office/drawing/2014/chart" uri="{C3380CC4-5D6E-409C-BE32-E72D297353CC}">
              <c16:uniqueId val="{00000007-EB70-4A20-86F6-B0CCC32DF2B2}"/>
            </c:ext>
          </c:extLst>
        </c:ser>
        <c:ser>
          <c:idx val="8"/>
          <c:order val="8"/>
          <c:tx>
            <c:strRef>
              <c:f>'WOS nephrops over 250kW'!$C$100</c:f>
              <c:strCache>
                <c:ptCount val="1"/>
                <c:pt idx="0">
                  <c:v>Herring</c:v>
                </c:pt>
              </c:strCache>
            </c:strRef>
          </c:tx>
          <c:spPr>
            <a:solidFill>
              <a:srgbClr val="51AA81"/>
            </a:solidFill>
            <a:ln>
              <a:solidFill>
                <a:srgbClr val="FFFFFF"/>
              </a:solidFill>
            </a:ln>
          </c:spPr>
          <c:invertIfNegative val="0"/>
          <c:cat>
            <c:numRef>
              <c:f>'WOS nephrops over 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over 250kW'!$D$100:$M$100</c:f>
              <c:numCache>
                <c:formatCode>0%</c:formatCode>
                <c:ptCount val="10"/>
                <c:pt idx="0">
                  <c:v>8.1114223845750125E-3</c:v>
                </c:pt>
                <c:pt idx="1">
                  <c:v>9.4313805855933755E-3</c:v>
                </c:pt>
              </c:numCache>
            </c:numRef>
          </c:val>
          <c:extLst>
            <c:ext xmlns:c16="http://schemas.microsoft.com/office/drawing/2014/chart" uri="{C3380CC4-5D6E-409C-BE32-E72D297353CC}">
              <c16:uniqueId val="{00000008-EB70-4A20-86F6-B0CCC32DF2B2}"/>
            </c:ext>
          </c:extLst>
        </c:ser>
        <c:ser>
          <c:idx val="9"/>
          <c:order val="9"/>
          <c:tx>
            <c:strRef>
              <c:f>'WOS nephrops over 250kW'!$C$101</c:f>
              <c:strCache>
                <c:ptCount val="1"/>
                <c:pt idx="0">
                  <c:v>Megrim</c:v>
                </c:pt>
              </c:strCache>
            </c:strRef>
          </c:tx>
          <c:spPr>
            <a:solidFill>
              <a:srgbClr val="169FDB"/>
            </a:solidFill>
            <a:ln>
              <a:solidFill>
                <a:srgbClr val="FFFFFF"/>
              </a:solidFill>
            </a:ln>
          </c:spPr>
          <c:invertIfNegative val="0"/>
          <c:cat>
            <c:numRef>
              <c:f>'WOS nephrops over 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over 250kW'!$D$101:$M$101</c:f>
              <c:numCache>
                <c:formatCode>0%</c:formatCode>
                <c:ptCount val="10"/>
                <c:pt idx="0">
                  <c:v>5.7304473336325813E-3</c:v>
                </c:pt>
              </c:numCache>
            </c:numRef>
          </c:val>
          <c:extLst>
            <c:ext xmlns:c16="http://schemas.microsoft.com/office/drawing/2014/chart" uri="{C3380CC4-5D6E-409C-BE32-E72D297353CC}">
              <c16:uniqueId val="{00000009-EB70-4A20-86F6-B0CCC32DF2B2}"/>
            </c:ext>
          </c:extLst>
        </c:ser>
        <c:ser>
          <c:idx val="10"/>
          <c:order val="10"/>
          <c:tx>
            <c:strRef>
              <c:f>'WOS nephrops over 250kW'!$C$102</c:f>
              <c:strCache>
                <c:ptCount val="1"/>
                <c:pt idx="0">
                  <c:v>Others</c:v>
                </c:pt>
              </c:strCache>
            </c:strRef>
          </c:tx>
          <c:spPr>
            <a:solidFill>
              <a:srgbClr val="55585A"/>
            </a:solidFill>
            <a:ln>
              <a:solidFill>
                <a:srgbClr val="FFFFFF"/>
              </a:solidFill>
            </a:ln>
          </c:spPr>
          <c:invertIfNegative val="0"/>
          <c:cat>
            <c:numRef>
              <c:f>'WOS nephrops over 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over 250kW'!$D$102:$M$102</c:f>
              <c:numCache>
                <c:formatCode>0%</c:formatCode>
                <c:ptCount val="10"/>
                <c:pt idx="0">
                  <c:v>2.7526718953483218E-2</c:v>
                </c:pt>
                <c:pt idx="1">
                  <c:v>1.8964440046523447E-2</c:v>
                </c:pt>
                <c:pt idx="2">
                  <c:v>2.0482563206976979E-2</c:v>
                </c:pt>
                <c:pt idx="3">
                  <c:v>2.1272600651673659E-2</c:v>
                </c:pt>
                <c:pt idx="4">
                  <c:v>1.9768099790353707E-2</c:v>
                </c:pt>
                <c:pt idx="5">
                  <c:v>2.40636339470355E-2</c:v>
                </c:pt>
                <c:pt idx="6">
                  <c:v>3.4352677081951215E-2</c:v>
                </c:pt>
                <c:pt idx="7">
                  <c:v>1.9297741498413921E-2</c:v>
                </c:pt>
                <c:pt idx="8">
                  <c:v>5.650020438900865E-2</c:v>
                </c:pt>
                <c:pt idx="9">
                  <c:v>1.3770265845543906E-2</c:v>
                </c:pt>
              </c:numCache>
            </c:numRef>
          </c:val>
          <c:extLst>
            <c:ext xmlns:c16="http://schemas.microsoft.com/office/drawing/2014/chart" uri="{C3380CC4-5D6E-409C-BE32-E72D297353CC}">
              <c16:uniqueId val="{0000000A-EB70-4A20-86F6-B0CCC32DF2B2}"/>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'WOS nephrops over 250kW'!$B$162</c:f>
              <c:strCache>
                <c:ptCount val="1"/>
                <c:pt idx="0">
                  <c:v>Nephrops</c:v>
                </c:pt>
              </c:strCache>
            </c:strRef>
          </c:tx>
          <c:spPr>
            <a:solidFill>
              <a:srgbClr val="2273B9"/>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250kW'!$C$162:$E$162</c:f>
              <c:numCache>
                <c:formatCode>0%</c:formatCode>
                <c:ptCount val="3"/>
                <c:pt idx="0">
                  <c:v>0.40740752008643633</c:v>
                </c:pt>
                <c:pt idx="1">
                  <c:v>0.94019676074043468</c:v>
                </c:pt>
                <c:pt idx="2">
                  <c:v>0.91394539856565493</c:v>
                </c:pt>
              </c:numCache>
            </c:numRef>
          </c:val>
          <c:extLst>
            <c:ext xmlns:c16="http://schemas.microsoft.com/office/drawing/2014/chart" uri="{C3380CC4-5D6E-409C-BE32-E72D297353CC}">
              <c16:uniqueId val="{00000000-991F-40E5-96CB-598E6941CAF0}"/>
            </c:ext>
          </c:extLst>
        </c:ser>
        <c:ser>
          <c:idx val="1"/>
          <c:order val="1"/>
          <c:tx>
            <c:strRef>
              <c:f>'WOS nephrops over 250kW'!$B$163</c:f>
              <c:strCache>
                <c:ptCount val="1"/>
                <c:pt idx="0">
                  <c:v>Scallops</c:v>
                </c:pt>
              </c:strCache>
            </c:strRef>
          </c:tx>
          <c:spPr>
            <a:solidFill>
              <a:srgbClr val="FED825"/>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250kW'!$C$163:$E$163</c:f>
              <c:numCache>
                <c:formatCode>0%</c:formatCode>
                <c:ptCount val="3"/>
                <c:pt idx="0">
                  <c:v>0</c:v>
                </c:pt>
                <c:pt idx="1">
                  <c:v>1.4147538264385438E-2</c:v>
                </c:pt>
                <c:pt idx="2">
                  <c:v>4.8356212490604043E-3</c:v>
                </c:pt>
              </c:numCache>
            </c:numRef>
          </c:val>
          <c:extLst>
            <c:ext xmlns:c16="http://schemas.microsoft.com/office/drawing/2014/chart" uri="{C3380CC4-5D6E-409C-BE32-E72D297353CC}">
              <c16:uniqueId val="{00000001-991F-40E5-96CB-598E6941CAF0}"/>
            </c:ext>
          </c:extLst>
        </c:ser>
        <c:ser>
          <c:idx val="2"/>
          <c:order val="2"/>
          <c:tx>
            <c:strRef>
              <c:f>'WOS nephrops over 250kW'!$B$164</c:f>
              <c:strCache>
                <c:ptCount val="1"/>
                <c:pt idx="0">
                  <c:v>Anglerfish</c:v>
                </c:pt>
              </c:strCache>
            </c:strRef>
          </c:tx>
          <c:spPr>
            <a:solidFill>
              <a:srgbClr val="648C2E"/>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250kW'!$C$164:$E$164</c:f>
              <c:numCache>
                <c:formatCode>0%</c:formatCode>
                <c:ptCount val="3"/>
                <c:pt idx="0">
                  <c:v>5.7237056979771231E-2</c:v>
                </c:pt>
                <c:pt idx="1">
                  <c:v>1.3560859019989395E-2</c:v>
                </c:pt>
                <c:pt idx="2">
                  <c:v>2.1814250178142754E-2</c:v>
                </c:pt>
              </c:numCache>
            </c:numRef>
          </c:val>
          <c:extLst>
            <c:ext xmlns:c16="http://schemas.microsoft.com/office/drawing/2014/chart" uri="{C3380CC4-5D6E-409C-BE32-E72D297353CC}">
              <c16:uniqueId val="{00000002-991F-40E5-96CB-598E6941CAF0}"/>
            </c:ext>
          </c:extLst>
        </c:ser>
        <c:ser>
          <c:idx val="3"/>
          <c:order val="3"/>
          <c:tx>
            <c:strRef>
              <c:f>'WOS nephrops over 250kW'!$B$165</c:f>
              <c:strCache>
                <c:ptCount val="1"/>
                <c:pt idx="0">
                  <c:v>Thornback Ray</c:v>
                </c:pt>
              </c:strCache>
            </c:strRef>
          </c:tx>
          <c:spPr>
            <a:solidFill>
              <a:srgbClr val="707271"/>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250kW'!$C$165:$E$165</c:f>
              <c:numCache>
                <c:formatCode>0%</c:formatCode>
                <c:ptCount val="3"/>
                <c:pt idx="0">
                  <c:v>0</c:v>
                </c:pt>
                <c:pt idx="1">
                  <c:v>9.7972038490311362E-3</c:v>
                </c:pt>
                <c:pt idx="2">
                  <c:v>3.0193487950610758E-2</c:v>
                </c:pt>
              </c:numCache>
            </c:numRef>
          </c:val>
          <c:extLst>
            <c:ext xmlns:c16="http://schemas.microsoft.com/office/drawing/2014/chart" uri="{C3380CC4-5D6E-409C-BE32-E72D297353CC}">
              <c16:uniqueId val="{00000003-991F-40E5-96CB-598E6941CAF0}"/>
            </c:ext>
          </c:extLst>
        </c:ser>
        <c:ser>
          <c:idx val="4"/>
          <c:order val="4"/>
          <c:tx>
            <c:strRef>
              <c:f>'WOS nephrops over 250kW'!$B$166</c:f>
              <c:strCache>
                <c:ptCount val="1"/>
                <c:pt idx="0">
                  <c:v>Haddock</c:v>
                </c:pt>
              </c:strCache>
            </c:strRef>
          </c:tx>
          <c:spPr>
            <a:solidFill>
              <a:srgbClr val="0F9AA9"/>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250kW'!$C$166:$E$166</c:f>
              <c:numCache>
                <c:formatCode>0%</c:formatCode>
                <c:ptCount val="3"/>
                <c:pt idx="0">
                  <c:v>0</c:v>
                </c:pt>
                <c:pt idx="1">
                  <c:v>6.0239743681561667E-3</c:v>
                </c:pt>
                <c:pt idx="2">
                  <c:v>1.5393971688863884E-2</c:v>
                </c:pt>
              </c:numCache>
            </c:numRef>
          </c:val>
          <c:extLst>
            <c:ext xmlns:c16="http://schemas.microsoft.com/office/drawing/2014/chart" uri="{C3380CC4-5D6E-409C-BE32-E72D297353CC}">
              <c16:uniqueId val="{00000004-991F-40E5-96CB-598E6941CAF0}"/>
            </c:ext>
          </c:extLst>
        </c:ser>
        <c:ser>
          <c:idx val="5"/>
          <c:order val="5"/>
          <c:tx>
            <c:strRef>
              <c:f>'WOS nephrops over 250kW'!$B$167</c:f>
              <c:strCache>
                <c:ptCount val="1"/>
                <c:pt idx="0">
                  <c:v>Sprats</c:v>
                </c:pt>
              </c:strCache>
            </c:strRef>
          </c:tx>
          <c:spPr>
            <a:solidFill>
              <a:srgbClr val="C1D119"/>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250kW'!$C$167:$E$167</c:f>
              <c:numCache>
                <c:formatCode>0%</c:formatCode>
                <c:ptCount val="3"/>
                <c:pt idx="0">
                  <c:v>0.30028809265234518</c:v>
                </c:pt>
                <c:pt idx="1">
                  <c:v>0</c:v>
                </c:pt>
                <c:pt idx="2">
                  <c:v>0</c:v>
                </c:pt>
              </c:numCache>
            </c:numRef>
          </c:val>
          <c:extLst>
            <c:ext xmlns:c16="http://schemas.microsoft.com/office/drawing/2014/chart" uri="{C3380CC4-5D6E-409C-BE32-E72D297353CC}">
              <c16:uniqueId val="{00000005-991F-40E5-96CB-598E6941CAF0}"/>
            </c:ext>
          </c:extLst>
        </c:ser>
        <c:ser>
          <c:idx val="6"/>
          <c:order val="6"/>
          <c:tx>
            <c:strRef>
              <c:f>'WOS nephrops over 250kW'!$B$168</c:f>
              <c:strCache>
                <c:ptCount val="1"/>
                <c:pt idx="0">
                  <c:v>Squid</c:v>
                </c:pt>
              </c:strCache>
            </c:strRef>
          </c:tx>
          <c:spPr>
            <a:solidFill>
              <a:srgbClr val="E87308"/>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250kW'!$C$168:$E$168</c:f>
              <c:numCache>
                <c:formatCode>0%</c:formatCode>
                <c:ptCount val="3"/>
                <c:pt idx="0">
                  <c:v>8.6057407922459611E-2</c:v>
                </c:pt>
                <c:pt idx="1">
                  <c:v>0</c:v>
                </c:pt>
                <c:pt idx="2">
                  <c:v>0</c:v>
                </c:pt>
              </c:numCache>
            </c:numRef>
          </c:val>
          <c:extLst>
            <c:ext xmlns:c16="http://schemas.microsoft.com/office/drawing/2014/chart" uri="{C3380CC4-5D6E-409C-BE32-E72D297353CC}">
              <c16:uniqueId val="{00000006-991F-40E5-96CB-598E6941CAF0}"/>
            </c:ext>
          </c:extLst>
        </c:ser>
        <c:ser>
          <c:idx val="7"/>
          <c:order val="7"/>
          <c:tx>
            <c:strRef>
              <c:f>'WOS nephrops over 250kW'!$B$169</c:f>
              <c:strCache>
                <c:ptCount val="1"/>
                <c:pt idx="0">
                  <c:v>Ling</c:v>
                </c:pt>
              </c:strCache>
            </c:strRef>
          </c:tx>
          <c:spPr>
            <a:solidFill>
              <a:srgbClr val="169FDB"/>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250kW'!$C$169:$E$169</c:f>
              <c:numCache>
                <c:formatCode>0%</c:formatCode>
                <c:ptCount val="3"/>
                <c:pt idx="0">
                  <c:v>2.5372748861103984E-2</c:v>
                </c:pt>
                <c:pt idx="1">
                  <c:v>0</c:v>
                </c:pt>
                <c:pt idx="2">
                  <c:v>0</c:v>
                </c:pt>
              </c:numCache>
            </c:numRef>
          </c:val>
          <c:extLst>
            <c:ext xmlns:c16="http://schemas.microsoft.com/office/drawing/2014/chart" uri="{C3380CC4-5D6E-409C-BE32-E72D297353CC}">
              <c16:uniqueId val="{00000007-991F-40E5-96CB-598E6941CAF0}"/>
            </c:ext>
          </c:extLst>
        </c:ser>
        <c:ser>
          <c:idx val="8"/>
          <c:order val="8"/>
          <c:tx>
            <c:strRef>
              <c:f>'WOS nephrops over 250kW'!$B$170</c:f>
              <c:strCache>
                <c:ptCount val="1"/>
                <c:pt idx="0">
                  <c:v>Others</c:v>
                </c:pt>
              </c:strCache>
            </c:strRef>
          </c:tx>
          <c:spPr>
            <a:solidFill>
              <a:srgbClr val="55585A"/>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250kW'!$C$170:$E$170</c:f>
              <c:numCache>
                <c:formatCode>0%</c:formatCode>
                <c:ptCount val="3"/>
                <c:pt idx="0">
                  <c:v>0.12363717349788372</c:v>
                </c:pt>
                <c:pt idx="1">
                  <c:v>1.627366375800321E-2</c:v>
                </c:pt>
                <c:pt idx="2">
                  <c:v>1.3817270367667223E-2</c:v>
                </c:pt>
              </c:numCache>
            </c:numRef>
          </c:val>
          <c:extLst>
            <c:ext xmlns:c16="http://schemas.microsoft.com/office/drawing/2014/chart" uri="{C3380CC4-5D6E-409C-BE32-E72D297353CC}">
              <c16:uniqueId val="{00000008-991F-40E5-96CB-598E6941CAF0}"/>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'WOS nephrops over 250kW'!$H$162</c:f>
              <c:strCache>
                <c:ptCount val="1"/>
                <c:pt idx="0">
                  <c:v>Nephrops</c:v>
                </c:pt>
              </c:strCache>
            </c:strRef>
          </c:tx>
          <c:spPr>
            <a:solidFill>
              <a:srgbClr val="2273B9"/>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250kW'!$I$162:$K$162</c:f>
              <c:numCache>
                <c:formatCode>0%</c:formatCode>
                <c:ptCount val="3"/>
                <c:pt idx="0">
                  <c:v>0.61527330833206917</c:v>
                </c:pt>
                <c:pt idx="1">
                  <c:v>0.95584930845536364</c:v>
                </c:pt>
                <c:pt idx="2">
                  <c:v>0.95956620421439764</c:v>
                </c:pt>
              </c:numCache>
            </c:numRef>
          </c:val>
          <c:extLst>
            <c:ext xmlns:c16="http://schemas.microsoft.com/office/drawing/2014/chart" uri="{C3380CC4-5D6E-409C-BE32-E72D297353CC}">
              <c16:uniqueId val="{00000000-EC8E-4865-9DAC-CC99B83F55F4}"/>
            </c:ext>
          </c:extLst>
        </c:ser>
        <c:ser>
          <c:idx val="1"/>
          <c:order val="1"/>
          <c:tx>
            <c:strRef>
              <c:f>'WOS nephrops over 250kW'!$H$163</c:f>
              <c:strCache>
                <c:ptCount val="1"/>
                <c:pt idx="0">
                  <c:v>Scallops</c:v>
                </c:pt>
              </c:strCache>
            </c:strRef>
          </c:tx>
          <c:spPr>
            <a:solidFill>
              <a:srgbClr val="FED825"/>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250kW'!$I$163:$K$163</c:f>
              <c:numCache>
                <c:formatCode>0%</c:formatCode>
                <c:ptCount val="3"/>
                <c:pt idx="0">
                  <c:v>0</c:v>
                </c:pt>
                <c:pt idx="1">
                  <c:v>1.4300470471911401E-2</c:v>
                </c:pt>
                <c:pt idx="2">
                  <c:v>4.7467843313286455E-3</c:v>
                </c:pt>
              </c:numCache>
            </c:numRef>
          </c:val>
          <c:extLst>
            <c:ext xmlns:c16="http://schemas.microsoft.com/office/drawing/2014/chart" uri="{C3380CC4-5D6E-409C-BE32-E72D297353CC}">
              <c16:uniqueId val="{00000001-EC8E-4865-9DAC-CC99B83F55F4}"/>
            </c:ext>
          </c:extLst>
        </c:ser>
        <c:ser>
          <c:idx val="2"/>
          <c:order val="2"/>
          <c:tx>
            <c:strRef>
              <c:f>'WOS nephrops over 250kW'!$H$164</c:f>
              <c:strCache>
                <c:ptCount val="1"/>
                <c:pt idx="0">
                  <c:v>Anglerfish</c:v>
                </c:pt>
              </c:strCache>
            </c:strRef>
          </c:tx>
          <c:spPr>
            <a:solidFill>
              <a:srgbClr val="648C2E"/>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250kW'!$I$164:$K$164</c:f>
              <c:numCache>
                <c:formatCode>0%</c:formatCode>
                <c:ptCount val="3"/>
                <c:pt idx="0">
                  <c:v>7.4106248585596585E-2</c:v>
                </c:pt>
                <c:pt idx="1">
                  <c:v>1.3426863198058449E-2</c:v>
                </c:pt>
                <c:pt idx="2">
                  <c:v>1.7157834307604768E-2</c:v>
                </c:pt>
              </c:numCache>
            </c:numRef>
          </c:val>
          <c:extLst>
            <c:ext xmlns:c16="http://schemas.microsoft.com/office/drawing/2014/chart" uri="{C3380CC4-5D6E-409C-BE32-E72D297353CC}">
              <c16:uniqueId val="{00000002-EC8E-4865-9DAC-CC99B83F55F4}"/>
            </c:ext>
          </c:extLst>
        </c:ser>
        <c:ser>
          <c:idx val="3"/>
          <c:order val="3"/>
          <c:tx>
            <c:strRef>
              <c:f>'WOS nephrops over 250kW'!$H$165</c:f>
              <c:strCache>
                <c:ptCount val="1"/>
                <c:pt idx="0">
                  <c:v>Brown Crab</c:v>
                </c:pt>
              </c:strCache>
            </c:strRef>
          </c:tx>
          <c:spPr>
            <a:solidFill>
              <a:srgbClr val="51AA81"/>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250kW'!$I$165:$K$165</c:f>
              <c:numCache>
                <c:formatCode>0%</c:formatCode>
                <c:ptCount val="3"/>
                <c:pt idx="0">
                  <c:v>0</c:v>
                </c:pt>
                <c:pt idx="1">
                  <c:v>4.9720231626598612E-3</c:v>
                </c:pt>
                <c:pt idx="2">
                  <c:v>0</c:v>
                </c:pt>
              </c:numCache>
            </c:numRef>
          </c:val>
          <c:extLst>
            <c:ext xmlns:c16="http://schemas.microsoft.com/office/drawing/2014/chart" uri="{C3380CC4-5D6E-409C-BE32-E72D297353CC}">
              <c16:uniqueId val="{00000003-EC8E-4865-9DAC-CC99B83F55F4}"/>
            </c:ext>
          </c:extLst>
        </c:ser>
        <c:ser>
          <c:idx val="4"/>
          <c:order val="4"/>
          <c:tx>
            <c:strRef>
              <c:f>'WOS nephrops over 250kW'!$H$166</c:f>
              <c:strCache>
                <c:ptCount val="1"/>
                <c:pt idx="0">
                  <c:v>Thornback Ray</c:v>
                </c:pt>
              </c:strCache>
            </c:strRef>
          </c:tx>
          <c:spPr>
            <a:solidFill>
              <a:srgbClr val="707271"/>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250kW'!$I$166:$K$166</c:f>
              <c:numCache>
                <c:formatCode>0%</c:formatCode>
                <c:ptCount val="3"/>
                <c:pt idx="0">
                  <c:v>0</c:v>
                </c:pt>
                <c:pt idx="1">
                  <c:v>3.1729175703308363E-3</c:v>
                </c:pt>
                <c:pt idx="2">
                  <c:v>8.0534679556163412E-3</c:v>
                </c:pt>
              </c:numCache>
            </c:numRef>
          </c:val>
          <c:extLst>
            <c:ext xmlns:c16="http://schemas.microsoft.com/office/drawing/2014/chart" uri="{C3380CC4-5D6E-409C-BE32-E72D297353CC}">
              <c16:uniqueId val="{00000004-EC8E-4865-9DAC-CC99B83F55F4}"/>
            </c:ext>
          </c:extLst>
        </c:ser>
        <c:ser>
          <c:idx val="5"/>
          <c:order val="5"/>
          <c:tx>
            <c:strRef>
              <c:f>'WOS nephrops over 250kW'!$H$167</c:f>
              <c:strCache>
                <c:ptCount val="1"/>
                <c:pt idx="0">
                  <c:v>Haddock</c:v>
                </c:pt>
              </c:strCache>
            </c:strRef>
          </c:tx>
          <c:spPr>
            <a:solidFill>
              <a:srgbClr val="0F9AA9"/>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250kW'!$I$167:$K$167</c:f>
              <c:numCache>
                <c:formatCode>0%</c:formatCode>
                <c:ptCount val="3"/>
                <c:pt idx="0">
                  <c:v>0</c:v>
                </c:pt>
                <c:pt idx="1">
                  <c:v>0</c:v>
                </c:pt>
                <c:pt idx="2">
                  <c:v>5.372711013370916E-3</c:v>
                </c:pt>
              </c:numCache>
            </c:numRef>
          </c:val>
          <c:extLst>
            <c:ext xmlns:c16="http://schemas.microsoft.com/office/drawing/2014/chart" uri="{C3380CC4-5D6E-409C-BE32-E72D297353CC}">
              <c16:uniqueId val="{00000005-EC8E-4865-9DAC-CC99B83F55F4}"/>
            </c:ext>
          </c:extLst>
        </c:ser>
        <c:ser>
          <c:idx val="6"/>
          <c:order val="6"/>
          <c:tx>
            <c:strRef>
              <c:f>'WOS nephrops over 250kW'!$H$168</c:f>
              <c:strCache>
                <c:ptCount val="1"/>
                <c:pt idx="0">
                  <c:v>Squid</c:v>
                </c:pt>
              </c:strCache>
            </c:strRef>
          </c:tx>
          <c:spPr>
            <a:solidFill>
              <a:srgbClr val="E87308"/>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250kW'!$I$168:$K$168</c:f>
              <c:numCache>
                <c:formatCode>0%</c:formatCode>
                <c:ptCount val="3"/>
                <c:pt idx="0">
                  <c:v>0.17125311583228264</c:v>
                </c:pt>
                <c:pt idx="1">
                  <c:v>0</c:v>
                </c:pt>
                <c:pt idx="2">
                  <c:v>0</c:v>
                </c:pt>
              </c:numCache>
            </c:numRef>
          </c:val>
          <c:extLst>
            <c:ext xmlns:c16="http://schemas.microsoft.com/office/drawing/2014/chart" uri="{C3380CC4-5D6E-409C-BE32-E72D297353CC}">
              <c16:uniqueId val="{00000006-EC8E-4865-9DAC-CC99B83F55F4}"/>
            </c:ext>
          </c:extLst>
        </c:ser>
        <c:ser>
          <c:idx val="7"/>
          <c:order val="7"/>
          <c:tx>
            <c:strRef>
              <c:f>'WOS nephrops over 250kW'!$H$169</c:f>
              <c:strCache>
                <c:ptCount val="1"/>
                <c:pt idx="0">
                  <c:v>Sprats</c:v>
                </c:pt>
              </c:strCache>
            </c:strRef>
          </c:tx>
          <c:spPr>
            <a:solidFill>
              <a:srgbClr val="C1D119"/>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250kW'!$I$169:$K$169</c:f>
              <c:numCache>
                <c:formatCode>0%</c:formatCode>
                <c:ptCount val="3"/>
                <c:pt idx="0">
                  <c:v>2.9605989174684728E-2</c:v>
                </c:pt>
                <c:pt idx="1">
                  <c:v>0</c:v>
                </c:pt>
                <c:pt idx="2">
                  <c:v>0</c:v>
                </c:pt>
              </c:numCache>
            </c:numRef>
          </c:val>
          <c:extLst>
            <c:ext xmlns:c16="http://schemas.microsoft.com/office/drawing/2014/chart" uri="{C3380CC4-5D6E-409C-BE32-E72D297353CC}">
              <c16:uniqueId val="{00000007-EC8E-4865-9DAC-CC99B83F55F4}"/>
            </c:ext>
          </c:extLst>
        </c:ser>
        <c:ser>
          <c:idx val="8"/>
          <c:order val="8"/>
          <c:tx>
            <c:strRef>
              <c:f>'WOS nephrops over 250kW'!$H$170</c:f>
              <c:strCache>
                <c:ptCount val="1"/>
                <c:pt idx="0">
                  <c:v>Cod</c:v>
                </c:pt>
              </c:strCache>
            </c:strRef>
          </c:tx>
          <c:spPr>
            <a:solidFill>
              <a:srgbClr val="E84A38"/>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250kW'!$I$170:$K$170</c:f>
              <c:numCache>
                <c:formatCode>0%</c:formatCode>
                <c:ptCount val="3"/>
                <c:pt idx="0">
                  <c:v>2.4191663915574313E-2</c:v>
                </c:pt>
                <c:pt idx="1">
                  <c:v>0</c:v>
                </c:pt>
                <c:pt idx="2">
                  <c:v>0</c:v>
                </c:pt>
              </c:numCache>
            </c:numRef>
          </c:val>
          <c:extLst>
            <c:ext xmlns:c16="http://schemas.microsoft.com/office/drawing/2014/chart" uri="{C3380CC4-5D6E-409C-BE32-E72D297353CC}">
              <c16:uniqueId val="{00000008-EC8E-4865-9DAC-CC99B83F55F4}"/>
            </c:ext>
          </c:extLst>
        </c:ser>
        <c:ser>
          <c:idx val="9"/>
          <c:order val="9"/>
          <c:tx>
            <c:strRef>
              <c:f>'WOS nephrops over 250kW'!$H$171</c:f>
              <c:strCache>
                <c:ptCount val="1"/>
                <c:pt idx="0">
                  <c:v>Others</c:v>
                </c:pt>
              </c:strCache>
            </c:strRef>
          </c:tx>
          <c:spPr>
            <a:solidFill>
              <a:srgbClr val="55585A"/>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250kW'!$I$171:$K$171</c:f>
              <c:numCache>
                <c:formatCode>0%</c:formatCode>
                <c:ptCount val="3"/>
                <c:pt idx="0">
                  <c:v>8.5569674159792664E-2</c:v>
                </c:pt>
                <c:pt idx="1">
                  <c:v>8.2784171416757646E-3</c:v>
                </c:pt>
                <c:pt idx="2">
                  <c:v>5.1029981776816724E-3</c:v>
                </c:pt>
              </c:numCache>
            </c:numRef>
          </c:val>
          <c:extLst>
            <c:ext xmlns:c16="http://schemas.microsoft.com/office/drawing/2014/chart" uri="{C3380CC4-5D6E-409C-BE32-E72D297353CC}">
              <c16:uniqueId val="{00000009-EC8E-4865-9DAC-CC99B83F55F4}"/>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'Area VIIa nephrops u250kW'!$K$139</c:f>
              <c:strCache>
                <c:ptCount val="1"/>
                <c:pt idx="0">
                  <c:v>Total income</c:v>
                </c:pt>
              </c:strCache>
            </c:strRef>
          </c:tx>
          <c:spPr>
            <a:solidFill>
              <a:srgbClr val="087CBB"/>
            </a:solidFill>
            <a:ln>
              <a:solidFill>
                <a:schemeClr val="accent1"/>
              </a:solidFill>
            </a:ln>
          </c:spPr>
          <c:invertIfNegative val="0"/>
          <c:cat>
            <c:strRef>
              <c:f>'Area VIIa nephrops u250kW'!$L$138:$N$138</c:f>
              <c:strCache>
                <c:ptCount val="3"/>
                <c:pt idx="0">
                  <c:v>Most
profitable
quartile</c:v>
                </c:pt>
                <c:pt idx="1">
                  <c:v>Middle
two quartiles</c:v>
                </c:pt>
                <c:pt idx="2">
                  <c:v>Least
profitable
quartile</c:v>
                </c:pt>
              </c:strCache>
            </c:strRef>
          </c:cat>
          <c:val>
            <c:numRef>
              <c:f>'Area VIIa nephrops u250kW'!$L$139:$N$139</c:f>
              <c:numCache>
                <c:formatCode>#,##0</c:formatCode>
                <c:ptCount val="3"/>
                <c:pt idx="0">
                  <c:v>260.96368749999999</c:v>
                </c:pt>
                <c:pt idx="1">
                  <c:v>170.86079687500001</c:v>
                </c:pt>
                <c:pt idx="2">
                  <c:v>148.22817187499999</c:v>
                </c:pt>
              </c:numCache>
            </c:numRef>
          </c:val>
          <c:extLst>
            <c:ext xmlns:c16="http://schemas.microsoft.com/office/drawing/2014/chart" uri="{C3380CC4-5D6E-409C-BE32-E72D297353CC}">
              <c16:uniqueId val="{00000000-1DC0-4742-9009-E9665B832B0C}"/>
            </c:ext>
          </c:extLst>
        </c:ser>
        <c:ser>
          <c:idx val="1"/>
          <c:order val="1"/>
          <c:tx>
            <c:strRef>
              <c:f>'Area VIIa nephrops u250kW'!$K$140</c:f>
              <c:strCache>
                <c:ptCount val="1"/>
                <c:pt idx="0">
                  <c:v>Operating costs</c:v>
                </c:pt>
              </c:strCache>
            </c:strRef>
          </c:tx>
          <c:spPr>
            <a:solidFill>
              <a:srgbClr val="E87308"/>
            </a:solidFill>
          </c:spPr>
          <c:invertIfNegative val="0"/>
          <c:cat>
            <c:strRef>
              <c:f>'Area VIIa nephrops u250kW'!$L$138:$N$138</c:f>
              <c:strCache>
                <c:ptCount val="3"/>
                <c:pt idx="0">
                  <c:v>Most
profitable
quartile</c:v>
                </c:pt>
                <c:pt idx="1">
                  <c:v>Middle
two quartiles</c:v>
                </c:pt>
                <c:pt idx="2">
                  <c:v>Least
profitable
quartile</c:v>
                </c:pt>
              </c:strCache>
            </c:strRef>
          </c:cat>
          <c:val>
            <c:numRef>
              <c:f>'Area VIIa nephrops u250kW'!$L$140:$N$140</c:f>
              <c:numCache>
                <c:formatCode>#,##0</c:formatCode>
                <c:ptCount val="3"/>
                <c:pt idx="0">
                  <c:v>203.13459374999999</c:v>
                </c:pt>
                <c:pt idx="1">
                  <c:v>142.76943750000001</c:v>
                </c:pt>
                <c:pt idx="2">
                  <c:v>132.97282812500001</c:v>
                </c:pt>
              </c:numCache>
            </c:numRef>
          </c:val>
          <c:extLst>
            <c:ext xmlns:c16="http://schemas.microsoft.com/office/drawing/2014/chart" uri="{C3380CC4-5D6E-409C-BE32-E72D297353CC}">
              <c16:uniqueId val="{00000001-1DC0-4742-9009-E9665B832B0C}"/>
            </c:ext>
          </c:extLst>
        </c:ser>
        <c:ser>
          <c:idx val="2"/>
          <c:order val="2"/>
          <c:tx>
            <c:strRef>
              <c:f>'Area VIIa nephrops u250kW'!$K$141</c:f>
              <c:strCache>
                <c:ptCount val="1"/>
                <c:pt idx="0">
                  <c:v>Operating profit</c:v>
                </c:pt>
              </c:strCache>
            </c:strRef>
          </c:tx>
          <c:spPr>
            <a:solidFill>
              <a:srgbClr val="51AA81"/>
            </a:solidFill>
          </c:spPr>
          <c:invertIfNegative val="0"/>
          <c:cat>
            <c:strRef>
              <c:f>'Area VIIa nephrops u250kW'!$L$138:$N$138</c:f>
              <c:strCache>
                <c:ptCount val="3"/>
                <c:pt idx="0">
                  <c:v>Most
profitable
quartile</c:v>
                </c:pt>
                <c:pt idx="1">
                  <c:v>Middle
two quartiles</c:v>
                </c:pt>
                <c:pt idx="2">
                  <c:v>Least
profitable
quartile</c:v>
                </c:pt>
              </c:strCache>
            </c:strRef>
          </c:cat>
          <c:val>
            <c:numRef>
              <c:f>'Area VIIa nephrops u250kW'!$L$141:$N$141</c:f>
              <c:numCache>
                <c:formatCode>#,##0</c:formatCode>
                <c:ptCount val="3"/>
                <c:pt idx="0">
                  <c:v>57.829093749999998</c:v>
                </c:pt>
                <c:pt idx="1">
                  <c:v>28.091359375</c:v>
                </c:pt>
                <c:pt idx="2">
                  <c:v>15.25534375</c:v>
                </c:pt>
              </c:numCache>
            </c:numRef>
          </c:val>
          <c:extLst>
            <c:ext xmlns:c16="http://schemas.microsoft.com/office/drawing/2014/chart" uri="{C3380CC4-5D6E-409C-BE32-E72D297353CC}">
              <c16:uniqueId val="{00000002-1DC0-4742-9009-E9665B832B0C}"/>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'Area VIIa nephrops u250kW'!$K$142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'WOS nephrops over 250kW'!$K$139</c:f>
              <c:strCache>
                <c:ptCount val="1"/>
                <c:pt idx="0">
                  <c:v>Total income</c:v>
                </c:pt>
              </c:strCache>
            </c:strRef>
          </c:tx>
          <c:spPr>
            <a:solidFill>
              <a:srgbClr val="087CBB"/>
            </a:solidFill>
            <a:ln>
              <a:solidFill>
                <a:schemeClr val="accent1"/>
              </a:solidFill>
            </a:ln>
          </c:spPr>
          <c:invertIfNegative val="0"/>
          <c:cat>
            <c:strRef>
              <c:f>'WOS nephrops over 250kW'!$L$138:$N$138</c:f>
              <c:strCache>
                <c:ptCount val="3"/>
                <c:pt idx="0">
                  <c:v>Most
profitable
quartile</c:v>
                </c:pt>
                <c:pt idx="1">
                  <c:v>Middle
two quartiles</c:v>
                </c:pt>
                <c:pt idx="2">
                  <c:v>Least
profitable
quartile</c:v>
                </c:pt>
              </c:strCache>
            </c:strRef>
          </c:cat>
          <c:val>
            <c:numRef>
              <c:f>'WOS nephrops over 250kW'!$L$139:$N$139</c:f>
              <c:numCache>
                <c:formatCode>#,##0</c:formatCode>
                <c:ptCount val="3"/>
                <c:pt idx="0">
                  <c:v>878.13118750000001</c:v>
                </c:pt>
                <c:pt idx="1">
                  <c:v>315.20779807692298</c:v>
                </c:pt>
                <c:pt idx="2">
                  <c:v>222.83865625000001</c:v>
                </c:pt>
              </c:numCache>
            </c:numRef>
          </c:val>
          <c:extLst>
            <c:ext xmlns:c16="http://schemas.microsoft.com/office/drawing/2014/chart" uri="{C3380CC4-5D6E-409C-BE32-E72D297353CC}">
              <c16:uniqueId val="{00000000-A537-4CB3-9528-506D407FB06D}"/>
            </c:ext>
          </c:extLst>
        </c:ser>
        <c:ser>
          <c:idx val="1"/>
          <c:order val="1"/>
          <c:tx>
            <c:strRef>
              <c:f>'WOS nephrops over 250kW'!$K$140</c:f>
              <c:strCache>
                <c:ptCount val="1"/>
                <c:pt idx="0">
                  <c:v>Operating costs</c:v>
                </c:pt>
              </c:strCache>
            </c:strRef>
          </c:tx>
          <c:spPr>
            <a:solidFill>
              <a:srgbClr val="E87308"/>
            </a:solidFill>
          </c:spPr>
          <c:invertIfNegative val="0"/>
          <c:cat>
            <c:strRef>
              <c:f>'WOS nephrops over 250kW'!$L$138:$N$138</c:f>
              <c:strCache>
                <c:ptCount val="3"/>
                <c:pt idx="0">
                  <c:v>Most
profitable
quartile</c:v>
                </c:pt>
                <c:pt idx="1">
                  <c:v>Middle
two quartiles</c:v>
                </c:pt>
                <c:pt idx="2">
                  <c:v>Least
profitable
quartile</c:v>
                </c:pt>
              </c:strCache>
            </c:strRef>
          </c:cat>
          <c:val>
            <c:numRef>
              <c:f>'WOS nephrops over 250kW'!$L$140:$N$140</c:f>
              <c:numCache>
                <c:formatCode>#,##0</c:formatCode>
                <c:ptCount val="3"/>
                <c:pt idx="0">
                  <c:v>702.64049999999997</c:v>
                </c:pt>
                <c:pt idx="1">
                  <c:v>292.42829326923101</c:v>
                </c:pt>
                <c:pt idx="2">
                  <c:v>224.59203124999999</c:v>
                </c:pt>
              </c:numCache>
            </c:numRef>
          </c:val>
          <c:extLst>
            <c:ext xmlns:c16="http://schemas.microsoft.com/office/drawing/2014/chart" uri="{C3380CC4-5D6E-409C-BE32-E72D297353CC}">
              <c16:uniqueId val="{00000001-A537-4CB3-9528-506D407FB06D}"/>
            </c:ext>
          </c:extLst>
        </c:ser>
        <c:ser>
          <c:idx val="2"/>
          <c:order val="2"/>
          <c:tx>
            <c:strRef>
              <c:f>'WOS nephrops over 250kW'!$K$141</c:f>
              <c:strCache>
                <c:ptCount val="1"/>
                <c:pt idx="0">
                  <c:v>Operating profit</c:v>
                </c:pt>
              </c:strCache>
            </c:strRef>
          </c:tx>
          <c:spPr>
            <a:solidFill>
              <a:srgbClr val="51AA81"/>
            </a:solidFill>
          </c:spPr>
          <c:invertIfNegative val="0"/>
          <c:cat>
            <c:strRef>
              <c:f>'WOS nephrops over 250kW'!$L$138:$N$138</c:f>
              <c:strCache>
                <c:ptCount val="3"/>
                <c:pt idx="0">
                  <c:v>Most
profitable
quartile</c:v>
                </c:pt>
                <c:pt idx="1">
                  <c:v>Middle
two quartiles</c:v>
                </c:pt>
                <c:pt idx="2">
                  <c:v>Least
profitable
quartile</c:v>
                </c:pt>
              </c:strCache>
            </c:strRef>
          </c:cat>
          <c:val>
            <c:numRef>
              <c:f>'WOS nephrops over 250kW'!$L$141:$N$141</c:f>
              <c:numCache>
                <c:formatCode>#,##0</c:formatCode>
                <c:ptCount val="3"/>
                <c:pt idx="0">
                  <c:v>175.49068750000001</c:v>
                </c:pt>
                <c:pt idx="1">
                  <c:v>22.779504807692302</c:v>
                </c:pt>
                <c:pt idx="2">
                  <c:v>-1.7533749999999999</c:v>
                </c:pt>
              </c:numCache>
            </c:numRef>
          </c:val>
          <c:extLst>
            <c:ext xmlns:c16="http://schemas.microsoft.com/office/drawing/2014/chart" uri="{C3380CC4-5D6E-409C-BE32-E72D297353CC}">
              <c16:uniqueId val="{00000002-A537-4CB3-9528-506D407FB06D}"/>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'WOS nephrops over 250kW'!$K$142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250kW'!$A$48</c:f>
          <c:strCache>
            <c:ptCount val="1"/>
            <c:pt idx="0">
              <c:v>Landings per kW day at sea (kg)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6BD2-46ED-9C99-C861157727EA}"/>
              </c:ext>
            </c:extLst>
          </c:dPt>
          <c:dPt>
            <c:idx val="10"/>
            <c:bubble3D val="0"/>
            <c:spPr>
              <a:ln w="57150">
                <a:solidFill>
                  <a:srgbClr val="2273B9"/>
                </a:solidFill>
                <a:prstDash val="sysDot"/>
              </a:ln>
            </c:spPr>
            <c:extLst>
              <c:ext xmlns:c16="http://schemas.microsoft.com/office/drawing/2014/chart" uri="{C3380CC4-5D6E-409C-BE32-E72D297353CC}">
                <c16:uniqueId val="{00000003-6BD2-46ED-9C99-C861157727EA}"/>
              </c:ext>
            </c:extLst>
          </c:dPt>
          <c:cat>
            <c:numRef>
              <c:f>'WOS nephrops under 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'WOS nephrops under 250kW'!$D$21:$N$21</c:f>
              <c:numCache>
                <c:formatCode>#,##0.00</c:formatCode>
                <c:ptCount val="11"/>
                <c:pt idx="0">
                  <c:v>2.2027638449974534</c:v>
                </c:pt>
                <c:pt idx="1">
                  <c:v>2.3455897512904103</c:v>
                </c:pt>
                <c:pt idx="2">
                  <c:v>2.4334448649644824</c:v>
                </c:pt>
                <c:pt idx="3">
                  <c:v>2.4824047124425221</c:v>
                </c:pt>
                <c:pt idx="4">
                  <c:v>2.3154563733374309</c:v>
                </c:pt>
                <c:pt idx="5">
                  <c:v>2.2142812605066986</c:v>
                </c:pt>
                <c:pt idx="6">
                  <c:v>2.6469764598383465</c:v>
                </c:pt>
                <c:pt idx="7">
                  <c:v>2.6222704447335929</c:v>
                </c:pt>
                <c:pt idx="8">
                  <c:v>2.403754053084084</c:v>
                </c:pt>
                <c:pt idx="9">
                  <c:v>2.5658788375863795</c:v>
                </c:pt>
                <c:pt idx="10">
                  <c:v>2.2614042509020362</c:v>
                </c:pt>
              </c:numCache>
            </c:numRef>
          </c:val>
          <c:smooth val="0"/>
          <c:extLst>
            <c:ext xmlns:c16="http://schemas.microsoft.com/office/drawing/2014/chart" uri="{C3380CC4-5D6E-409C-BE32-E72D297353CC}">
              <c16:uniqueId val="{00000004-6BD2-46ED-9C99-C861157727EA}"/>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250kW'!$A$49</c:f>
          <c:strCache>
            <c:ptCount val="1"/>
            <c:pt idx="0">
              <c:v>Fishing income per kW day at sea (£)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782F-4B92-924A-54E0AF06A138}"/>
              </c:ext>
            </c:extLst>
          </c:dPt>
          <c:dPt>
            <c:idx val="10"/>
            <c:bubble3D val="0"/>
            <c:spPr>
              <a:ln w="57150">
                <a:solidFill>
                  <a:srgbClr val="648C2E"/>
                </a:solidFill>
                <a:prstDash val="sysDot"/>
              </a:ln>
            </c:spPr>
            <c:extLst>
              <c:ext xmlns:c16="http://schemas.microsoft.com/office/drawing/2014/chart" uri="{C3380CC4-5D6E-409C-BE32-E72D297353CC}">
                <c16:uniqueId val="{00000003-782F-4B92-924A-54E0AF06A138}"/>
              </c:ext>
            </c:extLst>
          </c:dPt>
          <c:cat>
            <c:numRef>
              <c:f>'WOS nephrops under 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'WOS nephrops under 250kW'!$D$22:$N$22</c:f>
              <c:numCache>
                <c:formatCode>#,##0.00</c:formatCode>
                <c:ptCount val="11"/>
                <c:pt idx="0">
                  <c:v>5.8161539106189801</c:v>
                </c:pt>
                <c:pt idx="1">
                  <c:v>7.3801751049100499</c:v>
                </c:pt>
                <c:pt idx="2">
                  <c:v>8.0654328201402095</c:v>
                </c:pt>
                <c:pt idx="3">
                  <c:v>7.3454155309062799</c:v>
                </c:pt>
                <c:pt idx="4">
                  <c:v>7.2036659392942903</c:v>
                </c:pt>
                <c:pt idx="5">
                  <c:v>6.9595158450862096</c:v>
                </c:pt>
                <c:pt idx="6">
                  <c:v>7.6689729018330004</c:v>
                </c:pt>
                <c:pt idx="7">
                  <c:v>7.6010865381630897</c:v>
                </c:pt>
                <c:pt idx="8">
                  <c:v>7.3254238914183603</c:v>
                </c:pt>
                <c:pt idx="9">
                  <c:v>7.53504312159607</c:v>
                </c:pt>
                <c:pt idx="10">
                  <c:v>5.0352502785236375</c:v>
                </c:pt>
              </c:numCache>
            </c:numRef>
          </c:val>
          <c:smooth val="0"/>
          <c:extLst>
            <c:ext xmlns:c16="http://schemas.microsoft.com/office/drawing/2014/chart" uri="{C3380CC4-5D6E-409C-BE32-E72D297353CC}">
              <c16:uniqueId val="{00000004-782F-4B92-924A-54E0AF06A138}"/>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250kW'!$B$62</c:f>
          <c:strCache>
            <c:ptCount val="1"/>
            <c:pt idx="0">
              <c:v>Total cost per kW day at sea (£)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0EEA-4588-B857-FCE2EF6B7E87}"/>
              </c:ext>
            </c:extLst>
          </c:dPt>
          <c:dPt>
            <c:idx val="10"/>
            <c:bubble3D val="0"/>
            <c:spPr>
              <a:ln w="57150">
                <a:solidFill>
                  <a:srgbClr val="087CBB"/>
                </a:solidFill>
                <a:prstDash val="sysDot"/>
              </a:ln>
            </c:spPr>
            <c:extLst>
              <c:ext xmlns:c16="http://schemas.microsoft.com/office/drawing/2014/chart" uri="{C3380CC4-5D6E-409C-BE32-E72D297353CC}">
                <c16:uniqueId val="{00000003-0EEA-4588-B857-FCE2EF6B7E87}"/>
              </c:ext>
            </c:extLst>
          </c:dPt>
          <c:cat>
            <c:numRef>
              <c:f>'WOS nephrops under 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'WOS nephrops under 250kW'!$D$23:$N$23</c:f>
              <c:numCache>
                <c:formatCode>#,##0.00</c:formatCode>
                <c:ptCount val="11"/>
                <c:pt idx="0">
                  <c:v>4.9895386336493104</c:v>
                </c:pt>
                <c:pt idx="1">
                  <c:v>6.1929434237784804</c:v>
                </c:pt>
                <c:pt idx="2">
                  <c:v>6.6872589456162101</c:v>
                </c:pt>
                <c:pt idx="3">
                  <c:v>6.4893471092615096</c:v>
                </c:pt>
                <c:pt idx="4">
                  <c:v>6.3989215581567001</c:v>
                </c:pt>
                <c:pt idx="5">
                  <c:v>5.7215758096304503</c:v>
                </c:pt>
                <c:pt idx="6">
                  <c:v>6.33065032786791</c:v>
                </c:pt>
                <c:pt idx="7">
                  <c:v>6.4119623904480196</c:v>
                </c:pt>
                <c:pt idx="8">
                  <c:v>6.3432178456342898</c:v>
                </c:pt>
                <c:pt idx="9">
                  <c:v>6.5740239401261302</c:v>
                </c:pt>
                <c:pt idx="10">
                  <c:v>5.5389396532045287</c:v>
                </c:pt>
              </c:numCache>
            </c:numRef>
          </c:val>
          <c:smooth val="0"/>
          <c:extLst>
            <c:ext xmlns:c16="http://schemas.microsoft.com/office/drawing/2014/chart" uri="{C3380CC4-5D6E-409C-BE32-E72D297353CC}">
              <c16:uniqueId val="{00000004-0EEA-4588-B857-FCE2EF6B7E87}"/>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250kW'!$K$48</c:f>
          <c:strCache>
            <c:ptCount val="1"/>
            <c:pt idx="0">
              <c:v>Operating profit per kW day at sea (£)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5EEC-4978-85AC-1A3779B0DC99}"/>
              </c:ext>
            </c:extLst>
          </c:dPt>
          <c:dPt>
            <c:idx val="10"/>
            <c:bubble3D val="0"/>
            <c:spPr>
              <a:ln w="57150">
                <a:solidFill>
                  <a:schemeClr val="accent3"/>
                </a:solidFill>
                <a:prstDash val="sysDot"/>
              </a:ln>
            </c:spPr>
            <c:extLst>
              <c:ext xmlns:c16="http://schemas.microsoft.com/office/drawing/2014/chart" uri="{C3380CC4-5D6E-409C-BE32-E72D297353CC}">
                <c16:uniqueId val="{00000003-5EEC-4978-85AC-1A3779B0DC99}"/>
              </c:ext>
            </c:extLst>
          </c:dPt>
          <c:cat>
            <c:numRef>
              <c:f>'WOS nephrops under 250kW'!$D$2:$N$2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'WOS nephrops under 250kW'!$D$24:$N$24</c:f>
              <c:numCache>
                <c:formatCode>#,##0.00</c:formatCode>
                <c:ptCount val="11"/>
                <c:pt idx="0">
                  <c:v>0.93318354931254499</c:v>
                </c:pt>
                <c:pt idx="1">
                  <c:v>1.3235838427818201</c:v>
                </c:pt>
                <c:pt idx="2">
                  <c:v>1.8457951489169899</c:v>
                </c:pt>
                <c:pt idx="3">
                  <c:v>1.19826149964674</c:v>
                </c:pt>
                <c:pt idx="4">
                  <c:v>1.3103352326845401</c:v>
                </c:pt>
                <c:pt idx="5">
                  <c:v>1.4154393594785</c:v>
                </c:pt>
                <c:pt idx="6">
                  <c:v>1.6100240705839599</c:v>
                </c:pt>
                <c:pt idx="7">
                  <c:v>1.35465248982314</c:v>
                </c:pt>
                <c:pt idx="8">
                  <c:v>1.05743818707059</c:v>
                </c:pt>
                <c:pt idx="9">
                  <c:v>0.99323402709568298</c:v>
                </c:pt>
                <c:pt idx="10">
                  <c:v>-2.5718288535560123E-2</c:v>
                </c:pt>
              </c:numCache>
            </c:numRef>
          </c:val>
          <c:smooth val="0"/>
          <c:extLst>
            <c:ext xmlns:c16="http://schemas.microsoft.com/office/drawing/2014/chart" uri="{C3380CC4-5D6E-409C-BE32-E72D297353CC}">
              <c16:uniqueId val="{00000004-5EEC-4978-85AC-1A3779B0DC99}"/>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250kW'!$A$50</c:f>
          <c:strCache>
            <c:ptCount val="1"/>
            <c:pt idx="0">
              <c:v>Average price per tonne landed (£)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72AB-48C9-8535-28D3524A78F6}"/>
              </c:ext>
            </c:extLst>
          </c:dPt>
          <c:dPt>
            <c:idx val="10"/>
            <c:bubble3D val="0"/>
            <c:spPr>
              <a:ln w="57150">
                <a:solidFill>
                  <a:schemeClr val="accent4"/>
                </a:solidFill>
                <a:prstDash val="sysDot"/>
              </a:ln>
            </c:spPr>
            <c:extLst>
              <c:ext xmlns:c16="http://schemas.microsoft.com/office/drawing/2014/chart" uri="{C3380CC4-5D6E-409C-BE32-E72D297353CC}">
                <c16:uniqueId val="{00000003-72AB-48C9-8535-28D3524A78F6}"/>
              </c:ext>
            </c:extLst>
          </c:dPt>
          <c:cat>
            <c:numRef>
              <c:f>'WOS nephrops under 250kW'!$D$2:$M$2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'WOS nephrops under 250kW'!$D$20:$N$20</c:f>
              <c:numCache>
                <c:formatCode>#,##0</c:formatCode>
                <c:ptCount val="11"/>
                <c:pt idx="0">
                  <c:v>2640</c:v>
                </c:pt>
                <c:pt idx="1">
                  <c:v>3146</c:v>
                </c:pt>
                <c:pt idx="2">
                  <c:v>3314</c:v>
                </c:pt>
                <c:pt idx="3">
                  <c:v>2959</c:v>
                </c:pt>
                <c:pt idx="4">
                  <c:v>3111</c:v>
                </c:pt>
                <c:pt idx="5">
                  <c:v>3143</c:v>
                </c:pt>
                <c:pt idx="6">
                  <c:v>2897</c:v>
                </c:pt>
                <c:pt idx="7">
                  <c:v>2899</c:v>
                </c:pt>
                <c:pt idx="8">
                  <c:v>3047</c:v>
                </c:pt>
                <c:pt idx="9">
                  <c:v>2937</c:v>
                </c:pt>
                <c:pt idx="10">
                  <c:v>2227</c:v>
                </c:pt>
              </c:numCache>
            </c:numRef>
          </c:val>
          <c:smooth val="0"/>
          <c:extLst>
            <c:ext xmlns:c16="http://schemas.microsoft.com/office/drawing/2014/chart" uri="{C3380CC4-5D6E-409C-BE32-E72D297353CC}">
              <c16:uniqueId val="{00000004-72AB-48C9-8535-28D3524A78F6}"/>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250kW'!$K$62</c:f>
          <c:strCache>
            <c:ptCount val="1"/>
            <c:pt idx="0">
              <c:v>Average annual operating profit per vessel (£'000)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A7A3-42F8-BA2F-5C0F51EBF4AF}"/>
              </c:ext>
            </c:extLst>
          </c:dPt>
          <c:dPt>
            <c:idx val="10"/>
            <c:bubble3D val="0"/>
            <c:spPr>
              <a:ln w="57150">
                <a:solidFill>
                  <a:schemeClr val="accent5"/>
                </a:solidFill>
                <a:prstDash val="sysDot"/>
              </a:ln>
            </c:spPr>
            <c:extLst>
              <c:ext xmlns:c16="http://schemas.microsoft.com/office/drawing/2014/chart" uri="{C3380CC4-5D6E-409C-BE32-E72D297353CC}">
                <c16:uniqueId val="{00000003-A7A3-42F8-BA2F-5C0F51EBF4AF}"/>
              </c:ext>
            </c:extLst>
          </c:dPt>
          <c:cat>
            <c:numRef>
              <c:f>'WOS nephrops under 250kW'!$D$2:$M$2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'WOS nephrops under 250kW'!$D$37:$N$37</c:f>
              <c:numCache>
                <c:formatCode>#,##0.0</c:formatCode>
                <c:ptCount val="11"/>
                <c:pt idx="0">
                  <c:v>26.6</c:v>
                </c:pt>
                <c:pt idx="1">
                  <c:v>35.200000000000003</c:v>
                </c:pt>
                <c:pt idx="2">
                  <c:v>50.4</c:v>
                </c:pt>
                <c:pt idx="3">
                  <c:v>32.1</c:v>
                </c:pt>
                <c:pt idx="4">
                  <c:v>35.200000000000003</c:v>
                </c:pt>
                <c:pt idx="5">
                  <c:v>35.4</c:v>
                </c:pt>
                <c:pt idx="6">
                  <c:v>43.6</c:v>
                </c:pt>
                <c:pt idx="7">
                  <c:v>34.700000000000003</c:v>
                </c:pt>
                <c:pt idx="8">
                  <c:v>27.2</c:v>
                </c:pt>
                <c:pt idx="9">
                  <c:v>28.1</c:v>
                </c:pt>
                <c:pt idx="10">
                  <c:v>-0.6</c:v>
                </c:pt>
              </c:numCache>
            </c:numRef>
          </c:val>
          <c:smooth val="0"/>
          <c:extLst>
            <c:ext xmlns:c16="http://schemas.microsoft.com/office/drawing/2014/chart" uri="{C3380CC4-5D6E-409C-BE32-E72D297353CC}">
              <c16:uniqueId val="{00000004-A7A3-42F8-BA2F-5C0F51EBF4AF}"/>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under 250kW'!$A$76</c:f>
          <c:strCache>
            <c:ptCount val="1"/>
            <c:pt idx="0">
              <c:v>Top 5 landed species by volume in 2019
WOS nephrops under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BC10-4E93-BEB9-A94CB2834ACC}"/>
              </c:ext>
            </c:extLst>
          </c:dPt>
          <c:dPt>
            <c:idx val="1"/>
            <c:bubble3D val="0"/>
            <c:spPr>
              <a:solidFill>
                <a:srgbClr val="E87308"/>
              </a:solidFill>
              <a:ln>
                <a:solidFill>
                  <a:srgbClr val="FFFFFF"/>
                </a:solidFill>
              </a:ln>
            </c:spPr>
            <c:extLst>
              <c:ext xmlns:c16="http://schemas.microsoft.com/office/drawing/2014/chart" uri="{C3380CC4-5D6E-409C-BE32-E72D297353CC}">
                <c16:uniqueId val="{00000003-BC10-4E93-BEB9-A94CB2834ACC}"/>
              </c:ext>
            </c:extLst>
          </c:dPt>
          <c:dPt>
            <c:idx val="2"/>
            <c:bubble3D val="0"/>
            <c:spPr>
              <a:solidFill>
                <a:srgbClr val="C1D119"/>
              </a:solidFill>
              <a:ln>
                <a:solidFill>
                  <a:srgbClr val="FFFFFF"/>
                </a:solidFill>
              </a:ln>
            </c:spPr>
            <c:extLst>
              <c:ext xmlns:c16="http://schemas.microsoft.com/office/drawing/2014/chart" uri="{C3380CC4-5D6E-409C-BE32-E72D297353CC}">
                <c16:uniqueId val="{00000005-BC10-4E93-BEB9-A94CB2834ACC}"/>
              </c:ext>
            </c:extLst>
          </c:dPt>
          <c:dPt>
            <c:idx val="3"/>
            <c:bubble3D val="0"/>
            <c:spPr>
              <a:solidFill>
                <a:srgbClr val="648C2E"/>
              </a:solidFill>
              <a:ln>
                <a:solidFill>
                  <a:srgbClr val="FFFFFF"/>
                </a:solidFill>
              </a:ln>
            </c:spPr>
            <c:extLst>
              <c:ext xmlns:c16="http://schemas.microsoft.com/office/drawing/2014/chart" uri="{C3380CC4-5D6E-409C-BE32-E72D297353CC}">
                <c16:uniqueId val="{00000007-BC10-4E93-BEB9-A94CB2834ACC}"/>
              </c:ext>
            </c:extLst>
          </c:dPt>
          <c:dPt>
            <c:idx val="4"/>
            <c:bubble3D val="0"/>
            <c:spPr>
              <a:solidFill>
                <a:srgbClr val="0F9AA9"/>
              </a:solidFill>
              <a:ln>
                <a:solidFill>
                  <a:srgbClr val="FFFFFF"/>
                </a:solidFill>
              </a:ln>
            </c:spPr>
            <c:extLst>
              <c:ext xmlns:c16="http://schemas.microsoft.com/office/drawing/2014/chart" uri="{C3380CC4-5D6E-409C-BE32-E72D297353CC}">
                <c16:uniqueId val="{00000009-BC10-4E93-BEB9-A94CB2834ACC}"/>
              </c:ext>
            </c:extLst>
          </c:dPt>
          <c:dPt>
            <c:idx val="5"/>
            <c:bubble3D val="0"/>
            <c:spPr>
              <a:solidFill>
                <a:srgbClr val="55585A"/>
              </a:solidFill>
              <a:ln>
                <a:solidFill>
                  <a:srgbClr val="FFFFFF"/>
                </a:solidFill>
              </a:ln>
            </c:spPr>
            <c:extLst>
              <c:ext xmlns:c16="http://schemas.microsoft.com/office/drawing/2014/chart" uri="{C3380CC4-5D6E-409C-BE32-E72D297353CC}">
                <c16:uniqueId val="{0000000B-BC10-4E93-BEB9-A94CB2834ACC}"/>
              </c:ext>
            </c:extLst>
          </c:dPt>
          <c:cat>
            <c:strRef>
              <c:f>'WOS nephrops under 250kW'!$B$77:$B$82</c:f>
              <c:strCache>
                <c:ptCount val="6"/>
                <c:pt idx="0">
                  <c:v>Nephrops - 93.9%</c:v>
                </c:pt>
                <c:pt idx="1">
                  <c:v>Scallops - 1.4%</c:v>
                </c:pt>
                <c:pt idx="2">
                  <c:v>Whiting - 1.2%</c:v>
                </c:pt>
                <c:pt idx="3">
                  <c:v>Squid - 1.1%</c:v>
                </c:pt>
                <c:pt idx="4">
                  <c:v>Haddock - 0.7%</c:v>
                </c:pt>
                <c:pt idx="5">
                  <c:v>Others - 1.8%</c:v>
                </c:pt>
              </c:strCache>
            </c:strRef>
          </c:cat>
          <c:val>
            <c:numRef>
              <c:f>'WOS nephrops under 250kW'!$C$77:$C$82</c:f>
              <c:numCache>
                <c:formatCode>0.0%</c:formatCode>
                <c:ptCount val="6"/>
                <c:pt idx="0">
                  <c:v>0.93880933919302723</c:v>
                </c:pt>
                <c:pt idx="1">
                  <c:v>1.404519097594565E-2</c:v>
                </c:pt>
                <c:pt idx="2">
                  <c:v>1.1986471538813851E-2</c:v>
                </c:pt>
                <c:pt idx="3">
                  <c:v>1.0547391384335296E-2</c:v>
                </c:pt>
                <c:pt idx="4">
                  <c:v>6.8144363548937343E-3</c:v>
                </c:pt>
                <c:pt idx="5">
                  <c:v>1.7797170552984243E-2</c:v>
                </c:pt>
              </c:numCache>
            </c:numRef>
          </c:val>
          <c:extLst>
            <c:ext xmlns:c16="http://schemas.microsoft.com/office/drawing/2014/chart" uri="{C3380CC4-5D6E-409C-BE32-E72D297353CC}">
              <c16:uniqueId val="{0000000C-BC10-4E93-BEB9-A94CB2834ACC}"/>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under 250kW'!$F$76</c:f>
          <c:strCache>
            <c:ptCount val="1"/>
            <c:pt idx="0">
              <c:v>Top 5 landed species by value in 2019
WOS nephrops under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363A-40C2-B656-12D23C0EE2DF}"/>
              </c:ext>
            </c:extLst>
          </c:dPt>
          <c:dPt>
            <c:idx val="1"/>
            <c:bubble3D val="0"/>
            <c:spPr>
              <a:solidFill>
                <a:srgbClr val="E87308"/>
              </a:solidFill>
              <a:ln>
                <a:solidFill>
                  <a:srgbClr val="FFFFFF"/>
                </a:solidFill>
              </a:ln>
            </c:spPr>
            <c:extLst>
              <c:ext xmlns:c16="http://schemas.microsoft.com/office/drawing/2014/chart" uri="{C3380CC4-5D6E-409C-BE32-E72D297353CC}">
                <c16:uniqueId val="{00000003-363A-40C2-B656-12D23C0EE2DF}"/>
              </c:ext>
            </c:extLst>
          </c:dPt>
          <c:dPt>
            <c:idx val="2"/>
            <c:bubble3D val="0"/>
            <c:spPr>
              <a:solidFill>
                <a:srgbClr val="648C2E"/>
              </a:solidFill>
              <a:ln>
                <a:solidFill>
                  <a:srgbClr val="FFFFFF"/>
                </a:solidFill>
              </a:ln>
            </c:spPr>
            <c:extLst>
              <c:ext xmlns:c16="http://schemas.microsoft.com/office/drawing/2014/chart" uri="{C3380CC4-5D6E-409C-BE32-E72D297353CC}">
                <c16:uniqueId val="{00000005-363A-40C2-B656-12D23C0EE2DF}"/>
              </c:ext>
            </c:extLst>
          </c:dPt>
          <c:dPt>
            <c:idx val="3"/>
            <c:bubble3D val="0"/>
            <c:spPr>
              <a:solidFill>
                <a:srgbClr val="C1D119"/>
              </a:solidFill>
              <a:ln>
                <a:solidFill>
                  <a:srgbClr val="FFFFFF"/>
                </a:solidFill>
              </a:ln>
            </c:spPr>
            <c:extLst>
              <c:ext xmlns:c16="http://schemas.microsoft.com/office/drawing/2014/chart" uri="{C3380CC4-5D6E-409C-BE32-E72D297353CC}">
                <c16:uniqueId val="{00000007-363A-40C2-B656-12D23C0EE2DF}"/>
              </c:ext>
            </c:extLst>
          </c:dPt>
          <c:dPt>
            <c:idx val="4"/>
            <c:bubble3D val="0"/>
            <c:spPr>
              <a:solidFill>
                <a:srgbClr val="E84A38"/>
              </a:solidFill>
              <a:ln>
                <a:solidFill>
                  <a:srgbClr val="FFFFFF"/>
                </a:solidFill>
              </a:ln>
            </c:spPr>
            <c:extLst>
              <c:ext xmlns:c16="http://schemas.microsoft.com/office/drawing/2014/chart" uri="{C3380CC4-5D6E-409C-BE32-E72D297353CC}">
                <c16:uniqueId val="{00000009-363A-40C2-B656-12D23C0EE2DF}"/>
              </c:ext>
            </c:extLst>
          </c:dPt>
          <c:dPt>
            <c:idx val="5"/>
            <c:bubble3D val="0"/>
            <c:spPr>
              <a:solidFill>
                <a:srgbClr val="55585A"/>
              </a:solidFill>
              <a:ln>
                <a:solidFill>
                  <a:srgbClr val="FFFFFF"/>
                </a:solidFill>
              </a:ln>
            </c:spPr>
            <c:extLst>
              <c:ext xmlns:c16="http://schemas.microsoft.com/office/drawing/2014/chart" uri="{C3380CC4-5D6E-409C-BE32-E72D297353CC}">
                <c16:uniqueId val="{0000000B-363A-40C2-B656-12D23C0EE2DF}"/>
              </c:ext>
            </c:extLst>
          </c:dPt>
          <c:cat>
            <c:strRef>
              <c:f>'WOS nephrops under 250kW'!$G$77:$G$82</c:f>
              <c:strCache>
                <c:ptCount val="6"/>
                <c:pt idx="0">
                  <c:v>Nephrops - 95.7%</c:v>
                </c:pt>
                <c:pt idx="1">
                  <c:v>Scallops - 1.3%</c:v>
                </c:pt>
                <c:pt idx="2">
                  <c:v>Squid - 1.2%</c:v>
                </c:pt>
                <c:pt idx="3">
                  <c:v>Whiting - 0.5%</c:v>
                </c:pt>
                <c:pt idx="4">
                  <c:v>Anglerfish - 0.4%</c:v>
                </c:pt>
                <c:pt idx="5">
                  <c:v>Others - 0.9%</c:v>
                </c:pt>
              </c:strCache>
            </c:strRef>
          </c:cat>
          <c:val>
            <c:numRef>
              <c:f>'WOS nephrops under 250kW'!$H$77:$H$82</c:f>
              <c:numCache>
                <c:formatCode>0.0%</c:formatCode>
                <c:ptCount val="6"/>
                <c:pt idx="0">
                  <c:v>0.95675431743939143</c:v>
                </c:pt>
                <c:pt idx="1">
                  <c:v>1.2981614647645088E-2</c:v>
                </c:pt>
                <c:pt idx="2">
                  <c:v>1.168482442725375E-2</c:v>
                </c:pt>
                <c:pt idx="3">
                  <c:v>5.3356336709997456E-3</c:v>
                </c:pt>
                <c:pt idx="4">
                  <c:v>4.1777611134233873E-3</c:v>
                </c:pt>
                <c:pt idx="5">
                  <c:v>9.0658487012865718E-3</c:v>
                </c:pt>
              </c:numCache>
            </c:numRef>
          </c:val>
          <c:extLst>
            <c:ext xmlns:c16="http://schemas.microsoft.com/office/drawing/2014/chart" uri="{C3380CC4-5D6E-409C-BE32-E72D297353CC}">
              <c16:uniqueId val="{0000000C-363A-40C2-B656-12D23C0EE2DF}"/>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under 250kW'!$K$77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'WOS nephrops under 250kW'!$C$92</c:f>
              <c:strCache>
                <c:ptCount val="1"/>
                <c:pt idx="0">
                  <c:v>Nephrops</c:v>
                </c:pt>
              </c:strCache>
            </c:strRef>
          </c:tx>
          <c:spPr>
            <a:solidFill>
              <a:srgbClr val="2273B9"/>
            </a:solidFill>
            <a:ln>
              <a:solidFill>
                <a:srgbClr val="FFFFFF"/>
              </a:solidFill>
            </a:ln>
          </c:spPr>
          <c:invertIfNegative val="0"/>
          <c:cat>
            <c:numRef>
              <c:f>'WOS nephrops under 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under 250kW'!$D$92:$M$92</c:f>
              <c:numCache>
                <c:formatCode>0%</c:formatCode>
                <c:ptCount val="10"/>
                <c:pt idx="0">
                  <c:v>0.98174810275514102</c:v>
                </c:pt>
                <c:pt idx="1">
                  <c:v>0.95876494800364065</c:v>
                </c:pt>
                <c:pt idx="2">
                  <c:v>0.95642993523267572</c:v>
                </c:pt>
                <c:pt idx="3">
                  <c:v>0.97638166235546109</c:v>
                </c:pt>
                <c:pt idx="4">
                  <c:v>0.97741443134295813</c:v>
                </c:pt>
                <c:pt idx="5">
                  <c:v>0.97618989992581506</c:v>
                </c:pt>
                <c:pt idx="6">
                  <c:v>0.96569663096188274</c:v>
                </c:pt>
                <c:pt idx="7">
                  <c:v>0.96408525618343599</c:v>
                </c:pt>
                <c:pt idx="8">
                  <c:v>0.95675431743939143</c:v>
                </c:pt>
                <c:pt idx="9">
                  <c:v>0.93207677279453383</c:v>
                </c:pt>
              </c:numCache>
            </c:numRef>
          </c:val>
          <c:extLst>
            <c:ext xmlns:c16="http://schemas.microsoft.com/office/drawing/2014/chart" uri="{C3380CC4-5D6E-409C-BE32-E72D297353CC}">
              <c16:uniqueId val="{00000000-B456-427F-BA30-1668C5EDE6FA}"/>
            </c:ext>
          </c:extLst>
        </c:ser>
        <c:ser>
          <c:idx val="1"/>
          <c:order val="1"/>
          <c:tx>
            <c:strRef>
              <c:f>'WOS nephrops under 250kW'!$C$93</c:f>
              <c:strCache>
                <c:ptCount val="1"/>
                <c:pt idx="0">
                  <c:v>Scallops</c:v>
                </c:pt>
              </c:strCache>
            </c:strRef>
          </c:tx>
          <c:spPr>
            <a:solidFill>
              <a:srgbClr val="E87308"/>
            </a:solidFill>
            <a:ln>
              <a:solidFill>
                <a:srgbClr val="FFFFFF"/>
              </a:solidFill>
            </a:ln>
          </c:spPr>
          <c:invertIfNegative val="0"/>
          <c:cat>
            <c:numRef>
              <c:f>'WOS nephrops under 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under 250kW'!$D$93:$M$93</c:f>
              <c:numCache>
                <c:formatCode>0%</c:formatCode>
                <c:ptCount val="10"/>
                <c:pt idx="0">
                  <c:v>1.0176158732585464E-2</c:v>
                </c:pt>
                <c:pt idx="1">
                  <c:v>2.1520087451725844E-2</c:v>
                </c:pt>
                <c:pt idx="2">
                  <c:v>1.299499445453184E-2</c:v>
                </c:pt>
                <c:pt idx="3">
                  <c:v>3.8541152834509085E-3</c:v>
                </c:pt>
                <c:pt idx="4">
                  <c:v>9.3501579401829536E-3</c:v>
                </c:pt>
                <c:pt idx="5">
                  <c:v>9.4301421229082485E-3</c:v>
                </c:pt>
                <c:pt idx="6">
                  <c:v>8.983742358474843E-3</c:v>
                </c:pt>
                <c:pt idx="7">
                  <c:v>9.1791442667017876E-3</c:v>
                </c:pt>
                <c:pt idx="8">
                  <c:v>1.2981614647645088E-2</c:v>
                </c:pt>
                <c:pt idx="9">
                  <c:v>2.6386399504422182E-2</c:v>
                </c:pt>
              </c:numCache>
            </c:numRef>
          </c:val>
          <c:extLst>
            <c:ext xmlns:c16="http://schemas.microsoft.com/office/drawing/2014/chart" uri="{C3380CC4-5D6E-409C-BE32-E72D297353CC}">
              <c16:uniqueId val="{00000001-B456-427F-BA30-1668C5EDE6FA}"/>
            </c:ext>
          </c:extLst>
        </c:ser>
        <c:ser>
          <c:idx val="2"/>
          <c:order val="2"/>
          <c:tx>
            <c:strRef>
              <c:f>'WOS nephrops under 250kW'!$C$94</c:f>
              <c:strCache>
                <c:ptCount val="1"/>
                <c:pt idx="0">
                  <c:v>Squid</c:v>
                </c:pt>
              </c:strCache>
            </c:strRef>
          </c:tx>
          <c:spPr>
            <a:solidFill>
              <a:srgbClr val="648C2E"/>
            </a:solidFill>
            <a:ln>
              <a:solidFill>
                <a:srgbClr val="FFFFFF"/>
              </a:solidFill>
            </a:ln>
          </c:spPr>
          <c:invertIfNegative val="0"/>
          <c:cat>
            <c:numRef>
              <c:f>'WOS nephrops under 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under 250kW'!$D$94:$M$94</c:f>
              <c:numCache>
                <c:formatCode>0%</c:formatCode>
                <c:ptCount val="10"/>
                <c:pt idx="0">
                  <c:v>6.630690893226328E-4</c:v>
                </c:pt>
                <c:pt idx="2">
                  <c:v>3.7594886197009972E-3</c:v>
                </c:pt>
                <c:pt idx="5">
                  <c:v>2.9285641748799146E-3</c:v>
                </c:pt>
                <c:pt idx="6">
                  <c:v>9.3756376493999583E-3</c:v>
                </c:pt>
                <c:pt idx="7">
                  <c:v>5.5430186986126766E-3</c:v>
                </c:pt>
                <c:pt idx="8">
                  <c:v>1.168482442725375E-2</c:v>
                </c:pt>
                <c:pt idx="9">
                  <c:v>2.8238521969423173E-2</c:v>
                </c:pt>
              </c:numCache>
            </c:numRef>
          </c:val>
          <c:extLst>
            <c:ext xmlns:c16="http://schemas.microsoft.com/office/drawing/2014/chart" uri="{C3380CC4-5D6E-409C-BE32-E72D297353CC}">
              <c16:uniqueId val="{00000002-B456-427F-BA30-1668C5EDE6FA}"/>
            </c:ext>
          </c:extLst>
        </c:ser>
        <c:ser>
          <c:idx val="3"/>
          <c:order val="3"/>
          <c:tx>
            <c:strRef>
              <c:f>'WOS nephrops under 250kW'!$C$95</c:f>
              <c:strCache>
                <c:ptCount val="1"/>
                <c:pt idx="0">
                  <c:v>Whiting</c:v>
                </c:pt>
              </c:strCache>
            </c:strRef>
          </c:tx>
          <c:spPr>
            <a:solidFill>
              <a:srgbClr val="C1D119"/>
            </a:solidFill>
            <a:ln>
              <a:solidFill>
                <a:srgbClr val="FFFFFF"/>
              </a:solidFill>
            </a:ln>
          </c:spPr>
          <c:invertIfNegative val="0"/>
          <c:cat>
            <c:numRef>
              <c:f>'WOS nephrops under 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under 250kW'!$D$95:$M$95</c:f>
              <c:numCache>
                <c:formatCode>0%</c:formatCode>
                <c:ptCount val="10"/>
                <c:pt idx="8">
                  <c:v>5.3356336709997456E-3</c:v>
                </c:pt>
              </c:numCache>
            </c:numRef>
          </c:val>
          <c:extLst>
            <c:ext xmlns:c16="http://schemas.microsoft.com/office/drawing/2014/chart" uri="{C3380CC4-5D6E-409C-BE32-E72D297353CC}">
              <c16:uniqueId val="{00000003-B456-427F-BA30-1668C5EDE6FA}"/>
            </c:ext>
          </c:extLst>
        </c:ser>
        <c:ser>
          <c:idx val="4"/>
          <c:order val="4"/>
          <c:tx>
            <c:strRef>
              <c:f>'WOS nephrops under 250kW'!$C$96</c:f>
              <c:strCache>
                <c:ptCount val="1"/>
                <c:pt idx="0">
                  <c:v>Anglerfish</c:v>
                </c:pt>
              </c:strCache>
            </c:strRef>
          </c:tx>
          <c:spPr>
            <a:solidFill>
              <a:srgbClr val="E84A38"/>
            </a:solidFill>
            <a:ln>
              <a:solidFill>
                <a:srgbClr val="FFFFFF"/>
              </a:solidFill>
            </a:ln>
          </c:spPr>
          <c:invertIfNegative val="0"/>
          <c:cat>
            <c:numRef>
              <c:f>'WOS nephrops under 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under 250kW'!$D$96:$M$96</c:f>
              <c:numCache>
                <c:formatCode>0%</c:formatCode>
                <c:ptCount val="10"/>
                <c:pt idx="0">
                  <c:v>8.8658868543612843E-4</c:v>
                </c:pt>
                <c:pt idx="1">
                  <c:v>2.0489463798348201E-3</c:v>
                </c:pt>
                <c:pt idx="3">
                  <c:v>4.6151376590610263E-3</c:v>
                </c:pt>
                <c:pt idx="4">
                  <c:v>3.5332638565793708E-3</c:v>
                </c:pt>
                <c:pt idx="5">
                  <c:v>2.4652998408192586E-3</c:v>
                </c:pt>
                <c:pt idx="6">
                  <c:v>2.9246483634644185E-3</c:v>
                </c:pt>
                <c:pt idx="7">
                  <c:v>5.1005529324523891E-3</c:v>
                </c:pt>
                <c:pt idx="8">
                  <c:v>4.1777611134233873E-3</c:v>
                </c:pt>
                <c:pt idx="9">
                  <c:v>3.2333969924376225E-3</c:v>
                </c:pt>
              </c:numCache>
            </c:numRef>
          </c:val>
          <c:extLst>
            <c:ext xmlns:c16="http://schemas.microsoft.com/office/drawing/2014/chart" uri="{C3380CC4-5D6E-409C-BE32-E72D297353CC}">
              <c16:uniqueId val="{00000004-B456-427F-BA30-1668C5EDE6FA}"/>
            </c:ext>
          </c:extLst>
        </c:ser>
        <c:ser>
          <c:idx val="5"/>
          <c:order val="5"/>
          <c:tx>
            <c:strRef>
              <c:f>'WOS nephrops under 250kW'!$C$97</c:f>
              <c:strCache>
                <c:ptCount val="1"/>
                <c:pt idx="0">
                  <c:v>Brown Crab</c:v>
                </c:pt>
              </c:strCache>
            </c:strRef>
          </c:tx>
          <c:spPr>
            <a:solidFill>
              <a:srgbClr val="0F9AA9"/>
            </a:solidFill>
            <a:ln>
              <a:solidFill>
                <a:srgbClr val="FFFFFF"/>
              </a:solidFill>
            </a:ln>
          </c:spPr>
          <c:invertIfNegative val="0"/>
          <c:cat>
            <c:numRef>
              <c:f>'WOS nephrops under 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under 250kW'!$D$97:$M$97</c:f>
              <c:numCache>
                <c:formatCode>0%</c:formatCode>
                <c:ptCount val="10"/>
                <c:pt idx="3">
                  <c:v>3.4221695504747613E-3</c:v>
                </c:pt>
                <c:pt idx="4">
                  <c:v>2.9480861338771801E-3</c:v>
                </c:pt>
                <c:pt idx="5">
                  <c:v>4.1063308537431188E-3</c:v>
                </c:pt>
                <c:pt idx="6">
                  <c:v>7.3463898037433176E-3</c:v>
                </c:pt>
                <c:pt idx="7">
                  <c:v>1.082066561268367E-2</c:v>
                </c:pt>
                <c:pt idx="9">
                  <c:v>3.7003279452528862E-3</c:v>
                </c:pt>
              </c:numCache>
            </c:numRef>
          </c:val>
          <c:extLst>
            <c:ext xmlns:c16="http://schemas.microsoft.com/office/drawing/2014/chart" uri="{C3380CC4-5D6E-409C-BE32-E72D297353CC}">
              <c16:uniqueId val="{00000005-B456-427F-BA30-1668C5EDE6FA}"/>
            </c:ext>
          </c:extLst>
        </c:ser>
        <c:ser>
          <c:idx val="6"/>
          <c:order val="6"/>
          <c:tx>
            <c:strRef>
              <c:f>'WOS nephrops under 250kW'!$C$98</c:f>
              <c:strCache>
                <c:ptCount val="1"/>
                <c:pt idx="0">
                  <c:v>Haddock</c:v>
                </c:pt>
              </c:strCache>
            </c:strRef>
          </c:tx>
          <c:spPr>
            <a:solidFill>
              <a:srgbClr val="FED825"/>
            </a:solidFill>
            <a:ln>
              <a:solidFill>
                <a:srgbClr val="FFFFFF"/>
              </a:solidFill>
            </a:ln>
          </c:spPr>
          <c:invertIfNegative val="0"/>
          <c:cat>
            <c:numRef>
              <c:f>'WOS nephrops under 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under 250kW'!$D$98:$M$98</c:f>
              <c:numCache>
                <c:formatCode>0%</c:formatCode>
                <c:ptCount val="10"/>
                <c:pt idx="0">
                  <c:v>1.1568835752943782E-3</c:v>
                </c:pt>
                <c:pt idx="1">
                  <c:v>3.3071228800882892E-3</c:v>
                </c:pt>
                <c:pt idx="4">
                  <c:v>1.5410572834852749E-3</c:v>
                </c:pt>
              </c:numCache>
            </c:numRef>
          </c:val>
          <c:extLst>
            <c:ext xmlns:c16="http://schemas.microsoft.com/office/drawing/2014/chart" uri="{C3380CC4-5D6E-409C-BE32-E72D297353CC}">
              <c16:uniqueId val="{00000006-B456-427F-BA30-1668C5EDE6FA}"/>
            </c:ext>
          </c:extLst>
        </c:ser>
        <c:ser>
          <c:idx val="7"/>
          <c:order val="7"/>
          <c:tx>
            <c:strRef>
              <c:f>'WOS nephrops under 250kW'!$C$99</c:f>
              <c:strCache>
                <c:ptCount val="1"/>
                <c:pt idx="0">
                  <c:v>Megrim</c:v>
                </c:pt>
              </c:strCache>
            </c:strRef>
          </c:tx>
          <c:spPr>
            <a:solidFill>
              <a:srgbClr val="707271"/>
            </a:solidFill>
            <a:ln>
              <a:solidFill>
                <a:srgbClr val="FFFFFF"/>
              </a:solidFill>
            </a:ln>
          </c:spPr>
          <c:invertIfNegative val="0"/>
          <c:cat>
            <c:numRef>
              <c:f>'WOS nephrops under 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under 250kW'!$D$99:$M$99</c:f>
              <c:numCache>
                <c:formatCode>0%</c:formatCode>
                <c:ptCount val="10"/>
                <c:pt idx="3">
                  <c:v>2.12054132636767E-3</c:v>
                </c:pt>
              </c:numCache>
            </c:numRef>
          </c:val>
          <c:extLst>
            <c:ext xmlns:c16="http://schemas.microsoft.com/office/drawing/2014/chart" uri="{C3380CC4-5D6E-409C-BE32-E72D297353CC}">
              <c16:uniqueId val="{00000007-B456-427F-BA30-1668C5EDE6FA}"/>
            </c:ext>
          </c:extLst>
        </c:ser>
        <c:ser>
          <c:idx val="8"/>
          <c:order val="8"/>
          <c:tx>
            <c:strRef>
              <c:f>'WOS nephrops under 250kW'!$C$100</c:f>
              <c:strCache>
                <c:ptCount val="1"/>
                <c:pt idx="0">
                  <c:v>Queen Scallops</c:v>
                </c:pt>
              </c:strCache>
            </c:strRef>
          </c:tx>
          <c:spPr>
            <a:solidFill>
              <a:srgbClr val="51AA81"/>
            </a:solidFill>
            <a:ln>
              <a:solidFill>
                <a:srgbClr val="FFFFFF"/>
              </a:solidFill>
            </a:ln>
          </c:spPr>
          <c:invertIfNegative val="0"/>
          <c:cat>
            <c:numRef>
              <c:f>'WOS nephrops under 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under 250kW'!$D$100:$M$100</c:f>
              <c:numCache>
                <c:formatCode>0%</c:formatCode>
                <c:ptCount val="10"/>
                <c:pt idx="1">
                  <c:v>4.0269147403617402E-3</c:v>
                </c:pt>
                <c:pt idx="2">
                  <c:v>7.5278379966742786E-3</c:v>
                </c:pt>
              </c:numCache>
            </c:numRef>
          </c:val>
          <c:extLst>
            <c:ext xmlns:c16="http://schemas.microsoft.com/office/drawing/2014/chart" uri="{C3380CC4-5D6E-409C-BE32-E72D297353CC}">
              <c16:uniqueId val="{00000008-B456-427F-BA30-1668C5EDE6FA}"/>
            </c:ext>
          </c:extLst>
        </c:ser>
        <c:ser>
          <c:idx val="9"/>
          <c:order val="9"/>
          <c:tx>
            <c:strRef>
              <c:f>'WOS nephrops under 250kW'!$C$101</c:f>
              <c:strCache>
                <c:ptCount val="1"/>
                <c:pt idx="0">
                  <c:v>Razor Clam</c:v>
                </c:pt>
              </c:strCache>
            </c:strRef>
          </c:tx>
          <c:spPr>
            <a:solidFill>
              <a:srgbClr val="169FDB"/>
            </a:solidFill>
            <a:ln>
              <a:solidFill>
                <a:srgbClr val="FFFFFF"/>
              </a:solidFill>
            </a:ln>
          </c:spPr>
          <c:invertIfNegative val="0"/>
          <c:cat>
            <c:numRef>
              <c:f>'WOS nephrops under 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under 250kW'!$D$101:$M$101</c:f>
              <c:numCache>
                <c:formatCode>0%</c:formatCode>
                <c:ptCount val="10"/>
                <c:pt idx="2">
                  <c:v>5.2567045762981542E-3</c:v>
                </c:pt>
              </c:numCache>
            </c:numRef>
          </c:val>
          <c:extLst>
            <c:ext xmlns:c16="http://schemas.microsoft.com/office/drawing/2014/chart" uri="{C3380CC4-5D6E-409C-BE32-E72D297353CC}">
              <c16:uniqueId val="{00000009-B456-427F-BA30-1668C5EDE6FA}"/>
            </c:ext>
          </c:extLst>
        </c:ser>
        <c:ser>
          <c:idx val="10"/>
          <c:order val="10"/>
          <c:tx>
            <c:strRef>
              <c:f>'WOS nephrops under 250kW'!$C$102</c:f>
              <c:strCache>
                <c:ptCount val="1"/>
                <c:pt idx="0">
                  <c:v>Others</c:v>
                </c:pt>
              </c:strCache>
            </c:strRef>
          </c:tx>
          <c:spPr>
            <a:solidFill>
              <a:srgbClr val="55585A"/>
            </a:solidFill>
            <a:ln>
              <a:solidFill>
                <a:srgbClr val="FFFFFF"/>
              </a:solidFill>
            </a:ln>
          </c:spPr>
          <c:invertIfNegative val="0"/>
          <c:cat>
            <c:numRef>
              <c:f>'WOS nephrops under 250kW'!$D$91:$M$91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under 250kW'!$D$102:$M$102</c:f>
              <c:numCache>
                <c:formatCode>0%</c:formatCode>
                <c:ptCount val="10"/>
                <c:pt idx="0">
                  <c:v>5.3691971622204151E-3</c:v>
                </c:pt>
                <c:pt idx="1">
                  <c:v>1.0331980544348689E-2</c:v>
                </c:pt>
                <c:pt idx="2">
                  <c:v>1.4031039120119052E-2</c:v>
                </c:pt>
                <c:pt idx="3">
                  <c:v>9.6063738251845401E-3</c:v>
                </c:pt>
                <c:pt idx="4">
                  <c:v>5.2130034429170719E-3</c:v>
                </c:pt>
                <c:pt idx="5">
                  <c:v>4.8797630818343549E-3</c:v>
                </c:pt>
                <c:pt idx="6">
                  <c:v>5.6729508630347127E-3</c:v>
                </c:pt>
                <c:pt idx="7">
                  <c:v>5.2713623061134782E-3</c:v>
                </c:pt>
                <c:pt idx="8">
                  <c:v>9.0658487012866447E-3</c:v>
                </c:pt>
                <c:pt idx="9">
                  <c:v>6.3645807939303224E-3</c:v>
                </c:pt>
              </c:numCache>
            </c:numRef>
          </c:val>
          <c:extLst>
            <c:ext xmlns:c16="http://schemas.microsoft.com/office/drawing/2014/chart" uri="{C3380CC4-5D6E-409C-BE32-E72D297353CC}">
              <c16:uniqueId val="{0000000A-B456-427F-BA30-1668C5EDE6FA}"/>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24-40m'!$A$48</c:f>
          <c:strCache>
            <c:ptCount val="1"/>
            <c:pt idx="0">
              <c:v>Landings per kW day at sea (kg)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EC2F-4DF3-9457-524B2B9E3B53}"/>
              </c:ext>
            </c:extLst>
          </c:dPt>
          <c:dPt>
            <c:idx val="10"/>
            <c:bubble3D val="0"/>
            <c:spPr>
              <a:ln w="57150">
                <a:solidFill>
                  <a:srgbClr val="2273B9"/>
                </a:solidFill>
                <a:prstDash val="sysDot"/>
              </a:ln>
            </c:spPr>
            <c:extLst>
              <c:ext xmlns:c16="http://schemas.microsoft.com/office/drawing/2014/chart" uri="{C3380CC4-5D6E-409C-BE32-E72D297353CC}">
                <c16:uniqueId val="{00000003-EC2F-4DF3-9457-524B2B9E3B53}"/>
              </c:ext>
            </c:extLst>
          </c:dPt>
          <c:cat>
            <c:numRef>
              <c:f>'Area VIIb-k trawlers 24-40m'!$D$2:$N$2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'Area VIIb-k trawlers 24-40m'!$D$21:$N$21</c:f>
              <c:numCache>
                <c:formatCode>#,##0.00</c:formatCode>
                <c:ptCount val="11"/>
                <c:pt idx="0">
                  <c:v>2.5426144545882123</c:v>
                </c:pt>
                <c:pt idx="1">
                  <c:v>2.9151586121683546</c:v>
                </c:pt>
                <c:pt idx="2">
                  <c:v>3.4286569454809737</c:v>
                </c:pt>
                <c:pt idx="3">
                  <c:v>3.5406512618856607</c:v>
                </c:pt>
                <c:pt idx="4">
                  <c:v>3.6766564581479142</c:v>
                </c:pt>
                <c:pt idx="5">
                  <c:v>3.5715711831750334</c:v>
                </c:pt>
                <c:pt idx="6">
                  <c:v>3.191630936465613</c:v>
                </c:pt>
                <c:pt idx="7">
                  <c:v>3.2423602281530273</c:v>
                </c:pt>
                <c:pt idx="8">
                  <c:v>3.2534662370544849</c:v>
                </c:pt>
                <c:pt idx="9">
                  <c:v>3.287018245050878</c:v>
                </c:pt>
                <c:pt idx="10">
                  <c:v>3.1362995361500929</c:v>
                </c:pt>
              </c:numCache>
            </c:numRef>
          </c:val>
          <c:smooth val="0"/>
          <c:extLst>
            <c:ext xmlns:c16="http://schemas.microsoft.com/office/drawing/2014/chart" uri="{C3380CC4-5D6E-409C-BE32-E72D297353CC}">
              <c16:uniqueId val="{00000004-EC2F-4DF3-9457-524B2B9E3B53}"/>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'WOS nephrops under 250kW'!$B$162</c:f>
              <c:strCache>
                <c:ptCount val="1"/>
                <c:pt idx="0">
                  <c:v>Nephrops</c:v>
                </c:pt>
              </c:strCache>
            </c:strRef>
          </c:tx>
          <c:spPr>
            <a:solidFill>
              <a:srgbClr val="2273B9"/>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250kW'!$C$162:$E$162</c:f>
              <c:numCache>
                <c:formatCode>0%</c:formatCode>
                <c:ptCount val="3"/>
                <c:pt idx="0">
                  <c:v>0.91557037576864297</c:v>
                </c:pt>
                <c:pt idx="1">
                  <c:v>0.9425375236905108</c:v>
                </c:pt>
                <c:pt idx="2">
                  <c:v>0.97306673486830741</c:v>
                </c:pt>
              </c:numCache>
            </c:numRef>
          </c:val>
          <c:extLst>
            <c:ext xmlns:c16="http://schemas.microsoft.com/office/drawing/2014/chart" uri="{C3380CC4-5D6E-409C-BE32-E72D297353CC}">
              <c16:uniqueId val="{00000000-F15B-4EC4-82FD-70468C7C8BCC}"/>
            </c:ext>
          </c:extLst>
        </c:ser>
        <c:ser>
          <c:idx val="1"/>
          <c:order val="1"/>
          <c:tx>
            <c:strRef>
              <c:f>'WOS nephrops under 250kW'!$B$163</c:f>
              <c:strCache>
                <c:ptCount val="1"/>
                <c:pt idx="0">
                  <c:v>Scallops</c:v>
                </c:pt>
              </c:strCache>
            </c:strRef>
          </c:tx>
          <c:spPr>
            <a:solidFill>
              <a:srgbClr val="E87308"/>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250kW'!$C$163:$E$163</c:f>
              <c:numCache>
                <c:formatCode>0%</c:formatCode>
                <c:ptCount val="3"/>
                <c:pt idx="0">
                  <c:v>0</c:v>
                </c:pt>
                <c:pt idx="1">
                  <c:v>2.3740898082245925E-2</c:v>
                </c:pt>
                <c:pt idx="2">
                  <c:v>0</c:v>
                </c:pt>
              </c:numCache>
            </c:numRef>
          </c:val>
          <c:extLst>
            <c:ext xmlns:c16="http://schemas.microsoft.com/office/drawing/2014/chart" uri="{C3380CC4-5D6E-409C-BE32-E72D297353CC}">
              <c16:uniqueId val="{00000001-F15B-4EC4-82FD-70468C7C8BCC}"/>
            </c:ext>
          </c:extLst>
        </c:ser>
        <c:ser>
          <c:idx val="2"/>
          <c:order val="2"/>
          <c:tx>
            <c:strRef>
              <c:f>'WOS nephrops under 250kW'!$B$164</c:f>
              <c:strCache>
                <c:ptCount val="1"/>
                <c:pt idx="0">
                  <c:v>Squid</c:v>
                </c:pt>
              </c:strCache>
            </c:strRef>
          </c:tx>
          <c:spPr>
            <a:solidFill>
              <a:srgbClr val="648C2E"/>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250kW'!$C$164:$E$164</c:f>
              <c:numCache>
                <c:formatCode>0%</c:formatCode>
                <c:ptCount val="3"/>
                <c:pt idx="0">
                  <c:v>0</c:v>
                </c:pt>
                <c:pt idx="1">
                  <c:v>1.7126312470500647E-2</c:v>
                </c:pt>
                <c:pt idx="2">
                  <c:v>0</c:v>
                </c:pt>
              </c:numCache>
            </c:numRef>
          </c:val>
          <c:extLst>
            <c:ext xmlns:c16="http://schemas.microsoft.com/office/drawing/2014/chart" uri="{C3380CC4-5D6E-409C-BE32-E72D297353CC}">
              <c16:uniqueId val="{00000002-F15B-4EC4-82FD-70468C7C8BCC}"/>
            </c:ext>
          </c:extLst>
        </c:ser>
        <c:ser>
          <c:idx val="3"/>
          <c:order val="3"/>
          <c:tx>
            <c:strRef>
              <c:f>'WOS nephrops under 250kW'!$B$165</c:f>
              <c:strCache>
                <c:ptCount val="1"/>
                <c:pt idx="0">
                  <c:v>Les. Spot. Dog</c:v>
                </c:pt>
              </c:strCache>
            </c:strRef>
          </c:tx>
          <c:spPr>
            <a:solidFill>
              <a:srgbClr val="FED825"/>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250kW'!$C$165:$E$165</c:f>
              <c:numCache>
                <c:formatCode>0%</c:formatCode>
                <c:ptCount val="3"/>
                <c:pt idx="0">
                  <c:v>0</c:v>
                </c:pt>
                <c:pt idx="1">
                  <c:v>5.4659711691710886E-3</c:v>
                </c:pt>
                <c:pt idx="2">
                  <c:v>9.1742696740967113E-3</c:v>
                </c:pt>
              </c:numCache>
            </c:numRef>
          </c:val>
          <c:extLst>
            <c:ext xmlns:c16="http://schemas.microsoft.com/office/drawing/2014/chart" uri="{C3380CC4-5D6E-409C-BE32-E72D297353CC}">
              <c16:uniqueId val="{00000003-F15B-4EC4-82FD-70468C7C8BCC}"/>
            </c:ext>
          </c:extLst>
        </c:ser>
        <c:ser>
          <c:idx val="4"/>
          <c:order val="4"/>
          <c:tx>
            <c:strRef>
              <c:f>'WOS nephrops under 250kW'!$B$166</c:f>
              <c:strCache>
                <c:ptCount val="1"/>
                <c:pt idx="0">
                  <c:v>Haddock</c:v>
                </c:pt>
              </c:strCache>
            </c:strRef>
          </c:tx>
          <c:spPr>
            <a:solidFill>
              <a:srgbClr val="0F9AA9"/>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250kW'!$C$166:$E$166</c:f>
              <c:numCache>
                <c:formatCode>0%</c:formatCode>
                <c:ptCount val="3"/>
                <c:pt idx="0">
                  <c:v>1.2424015412445429E-2</c:v>
                </c:pt>
                <c:pt idx="1">
                  <c:v>4.2621342854633568E-3</c:v>
                </c:pt>
                <c:pt idx="2">
                  <c:v>4.7693593882181667E-3</c:v>
                </c:pt>
              </c:numCache>
            </c:numRef>
          </c:val>
          <c:extLst>
            <c:ext xmlns:c16="http://schemas.microsoft.com/office/drawing/2014/chart" uri="{C3380CC4-5D6E-409C-BE32-E72D297353CC}">
              <c16:uniqueId val="{00000004-F15B-4EC4-82FD-70468C7C8BCC}"/>
            </c:ext>
          </c:extLst>
        </c:ser>
        <c:ser>
          <c:idx val="5"/>
          <c:order val="5"/>
          <c:tx>
            <c:strRef>
              <c:f>'WOS nephrops under 250kW'!$B$167</c:f>
              <c:strCache>
                <c:ptCount val="1"/>
                <c:pt idx="0">
                  <c:v>Anglerfish</c:v>
                </c:pt>
              </c:strCache>
            </c:strRef>
          </c:tx>
          <c:spPr>
            <a:solidFill>
              <a:srgbClr val="E84A38"/>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250kW'!$C$167:$E$167</c:f>
              <c:numCache>
                <c:formatCode>0%</c:formatCode>
                <c:ptCount val="3"/>
                <c:pt idx="0">
                  <c:v>7.9057365151520061E-3</c:v>
                </c:pt>
                <c:pt idx="1">
                  <c:v>0</c:v>
                </c:pt>
                <c:pt idx="2">
                  <c:v>6.209965691514361E-3</c:v>
                </c:pt>
              </c:numCache>
            </c:numRef>
          </c:val>
          <c:extLst>
            <c:ext xmlns:c16="http://schemas.microsoft.com/office/drawing/2014/chart" uri="{C3380CC4-5D6E-409C-BE32-E72D297353CC}">
              <c16:uniqueId val="{00000005-F15B-4EC4-82FD-70468C7C8BCC}"/>
            </c:ext>
          </c:extLst>
        </c:ser>
        <c:ser>
          <c:idx val="6"/>
          <c:order val="6"/>
          <c:tx>
            <c:strRef>
              <c:f>'WOS nephrops under 250kW'!$B$168</c:f>
              <c:strCache>
                <c:ptCount val="1"/>
                <c:pt idx="0">
                  <c:v>Thornback Ray</c:v>
                </c:pt>
              </c:strCache>
            </c:strRef>
          </c:tx>
          <c:spPr>
            <a:solidFill>
              <a:srgbClr val="707271"/>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250kW'!$C$168:$E$168</c:f>
              <c:numCache>
                <c:formatCode>0%</c:formatCode>
                <c:ptCount val="3"/>
                <c:pt idx="0">
                  <c:v>0</c:v>
                </c:pt>
                <c:pt idx="1">
                  <c:v>0</c:v>
                </c:pt>
                <c:pt idx="2">
                  <c:v>3.9032190436687235E-3</c:v>
                </c:pt>
              </c:numCache>
            </c:numRef>
          </c:val>
          <c:extLst>
            <c:ext xmlns:c16="http://schemas.microsoft.com/office/drawing/2014/chart" uri="{C3380CC4-5D6E-409C-BE32-E72D297353CC}">
              <c16:uniqueId val="{00000006-F15B-4EC4-82FD-70468C7C8BCC}"/>
            </c:ext>
          </c:extLst>
        </c:ser>
        <c:ser>
          <c:idx val="7"/>
          <c:order val="7"/>
          <c:tx>
            <c:strRef>
              <c:f>'WOS nephrops under 250kW'!$B$169</c:f>
              <c:strCache>
                <c:ptCount val="1"/>
                <c:pt idx="0">
                  <c:v>Whiting</c:v>
                </c:pt>
              </c:strCache>
            </c:strRef>
          </c:tx>
          <c:spPr>
            <a:solidFill>
              <a:srgbClr val="C1D119"/>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250kW'!$C$169:$E$169</c:f>
              <c:numCache>
                <c:formatCode>0%</c:formatCode>
                <c:ptCount val="3"/>
                <c:pt idx="0">
                  <c:v>3.9354133320801385E-2</c:v>
                </c:pt>
                <c:pt idx="1">
                  <c:v>0</c:v>
                </c:pt>
                <c:pt idx="2">
                  <c:v>0</c:v>
                </c:pt>
              </c:numCache>
            </c:numRef>
          </c:val>
          <c:extLst>
            <c:ext xmlns:c16="http://schemas.microsoft.com/office/drawing/2014/chart" uri="{C3380CC4-5D6E-409C-BE32-E72D297353CC}">
              <c16:uniqueId val="{00000007-F15B-4EC4-82FD-70468C7C8BCC}"/>
            </c:ext>
          </c:extLst>
        </c:ser>
        <c:ser>
          <c:idx val="8"/>
          <c:order val="8"/>
          <c:tx>
            <c:strRef>
              <c:f>'WOS nephrops under 250kW'!$B$170</c:f>
              <c:strCache>
                <c:ptCount val="1"/>
                <c:pt idx="0">
                  <c:v>Cod</c:v>
                </c:pt>
              </c:strCache>
            </c:strRef>
          </c:tx>
          <c:spPr>
            <a:solidFill>
              <a:srgbClr val="51AA81"/>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250kW'!$C$170:$E$170</c:f>
              <c:numCache>
                <c:formatCode>0%</c:formatCode>
                <c:ptCount val="3"/>
                <c:pt idx="0">
                  <c:v>6.6892712470940771E-3</c:v>
                </c:pt>
                <c:pt idx="1">
                  <c:v>0</c:v>
                </c:pt>
                <c:pt idx="2">
                  <c:v>0</c:v>
                </c:pt>
              </c:numCache>
            </c:numRef>
          </c:val>
          <c:extLst>
            <c:ext xmlns:c16="http://schemas.microsoft.com/office/drawing/2014/chart" uri="{C3380CC4-5D6E-409C-BE32-E72D297353CC}">
              <c16:uniqueId val="{00000008-F15B-4EC4-82FD-70468C7C8BCC}"/>
            </c:ext>
          </c:extLst>
        </c:ser>
        <c:ser>
          <c:idx val="9"/>
          <c:order val="9"/>
          <c:tx>
            <c:strRef>
              <c:f>'WOS nephrops under 250kW'!$B$171</c:f>
              <c:strCache>
                <c:ptCount val="1"/>
                <c:pt idx="0">
                  <c:v>Others</c:v>
                </c:pt>
              </c:strCache>
            </c:strRef>
          </c:tx>
          <c:spPr>
            <a:solidFill>
              <a:srgbClr val="55585A"/>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250kW'!$C$171:$E$171</c:f>
              <c:numCache>
                <c:formatCode>0%</c:formatCode>
                <c:ptCount val="3"/>
                <c:pt idx="0">
                  <c:v>1.8056467735864112E-2</c:v>
                </c:pt>
                <c:pt idx="1">
                  <c:v>6.8671603021080996E-3</c:v>
                </c:pt>
                <c:pt idx="2">
                  <c:v>2.876451334194563E-3</c:v>
                </c:pt>
              </c:numCache>
            </c:numRef>
          </c:val>
          <c:extLst>
            <c:ext xmlns:c16="http://schemas.microsoft.com/office/drawing/2014/chart" uri="{C3380CC4-5D6E-409C-BE32-E72D297353CC}">
              <c16:uniqueId val="{00000009-F15B-4EC4-82FD-70468C7C8BCC}"/>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'WOS nephrops under 250kW'!$H$162</c:f>
              <c:strCache>
                <c:ptCount val="1"/>
                <c:pt idx="0">
                  <c:v>Nephrops</c:v>
                </c:pt>
              </c:strCache>
            </c:strRef>
          </c:tx>
          <c:spPr>
            <a:solidFill>
              <a:srgbClr val="2273B9"/>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250kW'!$I$162:$K$162</c:f>
              <c:numCache>
                <c:formatCode>0%</c:formatCode>
                <c:ptCount val="3"/>
                <c:pt idx="0">
                  <c:v>0.95014005691857717</c:v>
                </c:pt>
                <c:pt idx="1">
                  <c:v>0.95198220972614533</c:v>
                </c:pt>
                <c:pt idx="2">
                  <c:v>0.98914669064771765</c:v>
                </c:pt>
              </c:numCache>
            </c:numRef>
          </c:val>
          <c:extLst>
            <c:ext xmlns:c16="http://schemas.microsoft.com/office/drawing/2014/chart" uri="{C3380CC4-5D6E-409C-BE32-E72D297353CC}">
              <c16:uniqueId val="{00000000-4C86-4AB2-9C1A-8185C558A872}"/>
            </c:ext>
          </c:extLst>
        </c:ser>
        <c:ser>
          <c:idx val="1"/>
          <c:order val="1"/>
          <c:tx>
            <c:strRef>
              <c:f>'WOS nephrops under 250kW'!$H$163</c:f>
              <c:strCache>
                <c:ptCount val="1"/>
                <c:pt idx="0">
                  <c:v>Scallops</c:v>
                </c:pt>
              </c:strCache>
            </c:strRef>
          </c:tx>
          <c:spPr>
            <a:solidFill>
              <a:srgbClr val="E87308"/>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250kW'!$I$163:$K$163</c:f>
              <c:numCache>
                <c:formatCode>0%</c:formatCode>
                <c:ptCount val="3"/>
                <c:pt idx="0">
                  <c:v>0</c:v>
                </c:pt>
                <c:pt idx="1">
                  <c:v>2.2278760991804279E-2</c:v>
                </c:pt>
                <c:pt idx="2">
                  <c:v>0</c:v>
                </c:pt>
              </c:numCache>
            </c:numRef>
          </c:val>
          <c:extLst>
            <c:ext xmlns:c16="http://schemas.microsoft.com/office/drawing/2014/chart" uri="{C3380CC4-5D6E-409C-BE32-E72D297353CC}">
              <c16:uniqueId val="{00000001-4C86-4AB2-9C1A-8185C558A872}"/>
            </c:ext>
          </c:extLst>
        </c:ser>
        <c:ser>
          <c:idx val="2"/>
          <c:order val="2"/>
          <c:tx>
            <c:strRef>
              <c:f>'WOS nephrops under 250kW'!$H$164</c:f>
              <c:strCache>
                <c:ptCount val="1"/>
                <c:pt idx="0">
                  <c:v>Squid</c:v>
                </c:pt>
              </c:strCache>
            </c:strRef>
          </c:tx>
          <c:spPr>
            <a:solidFill>
              <a:srgbClr val="648C2E"/>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250kW'!$I$164:$K$164</c:f>
              <c:numCache>
                <c:formatCode>0%</c:formatCode>
                <c:ptCount val="3"/>
                <c:pt idx="0">
                  <c:v>0</c:v>
                </c:pt>
                <c:pt idx="1">
                  <c:v>1.9740794373057889E-2</c:v>
                </c:pt>
                <c:pt idx="2">
                  <c:v>0</c:v>
                </c:pt>
              </c:numCache>
            </c:numRef>
          </c:val>
          <c:extLst>
            <c:ext xmlns:c16="http://schemas.microsoft.com/office/drawing/2014/chart" uri="{C3380CC4-5D6E-409C-BE32-E72D297353CC}">
              <c16:uniqueId val="{00000002-4C86-4AB2-9C1A-8185C558A872}"/>
            </c:ext>
          </c:extLst>
        </c:ser>
        <c:ser>
          <c:idx val="3"/>
          <c:order val="3"/>
          <c:tx>
            <c:strRef>
              <c:f>'WOS nephrops under 250kW'!$H$165</c:f>
              <c:strCache>
                <c:ptCount val="1"/>
                <c:pt idx="0">
                  <c:v>Anglerfish</c:v>
                </c:pt>
              </c:strCache>
            </c:strRef>
          </c:tx>
          <c:spPr>
            <a:solidFill>
              <a:srgbClr val="E84A38"/>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250kW'!$I$165:$K$165</c:f>
              <c:numCache>
                <c:formatCode>0%</c:formatCode>
                <c:ptCount val="3"/>
                <c:pt idx="0">
                  <c:v>7.4354988250495595E-3</c:v>
                </c:pt>
                <c:pt idx="1">
                  <c:v>1.9787661965346443E-3</c:v>
                </c:pt>
                <c:pt idx="2">
                  <c:v>5.2921191608980012E-3</c:v>
                </c:pt>
              </c:numCache>
            </c:numRef>
          </c:val>
          <c:extLst>
            <c:ext xmlns:c16="http://schemas.microsoft.com/office/drawing/2014/chart" uri="{C3380CC4-5D6E-409C-BE32-E72D297353CC}">
              <c16:uniqueId val="{00000003-4C86-4AB2-9C1A-8185C558A872}"/>
            </c:ext>
          </c:extLst>
        </c:ser>
        <c:ser>
          <c:idx val="4"/>
          <c:order val="4"/>
          <c:tx>
            <c:strRef>
              <c:f>'WOS nephrops under 250kW'!$H$166</c:f>
              <c:strCache>
                <c:ptCount val="1"/>
                <c:pt idx="0">
                  <c:v>Haddock</c:v>
                </c:pt>
              </c:strCache>
            </c:strRef>
          </c:tx>
          <c:spPr>
            <a:solidFill>
              <a:srgbClr val="0F9AA9"/>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250kW'!$I$166:$K$166</c:f>
              <c:numCache>
                <c:formatCode>0%</c:formatCode>
                <c:ptCount val="3"/>
                <c:pt idx="0">
                  <c:v>6.6383473066987239E-3</c:v>
                </c:pt>
                <c:pt idx="1">
                  <c:v>1.6070603026709556E-3</c:v>
                </c:pt>
                <c:pt idx="2">
                  <c:v>1.8925374147668018E-3</c:v>
                </c:pt>
              </c:numCache>
            </c:numRef>
          </c:val>
          <c:extLst>
            <c:ext xmlns:c16="http://schemas.microsoft.com/office/drawing/2014/chart" uri="{C3380CC4-5D6E-409C-BE32-E72D297353CC}">
              <c16:uniqueId val="{00000004-4C86-4AB2-9C1A-8185C558A872}"/>
            </c:ext>
          </c:extLst>
        </c:ser>
        <c:ser>
          <c:idx val="5"/>
          <c:order val="5"/>
          <c:tx>
            <c:strRef>
              <c:f>'WOS nephrops under 250kW'!$H$167</c:f>
              <c:strCache>
                <c:ptCount val="1"/>
                <c:pt idx="0">
                  <c:v>Thornback Ray</c:v>
                </c:pt>
              </c:strCache>
            </c:strRef>
          </c:tx>
          <c:spPr>
            <a:solidFill>
              <a:srgbClr val="707271"/>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250kW'!$I$167:$K$167</c:f>
              <c:numCache>
                <c:formatCode>0%</c:formatCode>
                <c:ptCount val="3"/>
                <c:pt idx="0">
                  <c:v>0</c:v>
                </c:pt>
                <c:pt idx="1">
                  <c:v>0</c:v>
                </c:pt>
                <c:pt idx="2">
                  <c:v>1.186532427578741E-3</c:v>
                </c:pt>
              </c:numCache>
            </c:numRef>
          </c:val>
          <c:extLst>
            <c:ext xmlns:c16="http://schemas.microsoft.com/office/drawing/2014/chart" uri="{C3380CC4-5D6E-409C-BE32-E72D297353CC}">
              <c16:uniqueId val="{00000005-4C86-4AB2-9C1A-8185C558A872}"/>
            </c:ext>
          </c:extLst>
        </c:ser>
        <c:ser>
          <c:idx val="6"/>
          <c:order val="6"/>
          <c:tx>
            <c:strRef>
              <c:f>'WOS nephrops under 250kW'!$H$168</c:f>
              <c:strCache>
                <c:ptCount val="1"/>
                <c:pt idx="0">
                  <c:v>Les. Spot. Dog</c:v>
                </c:pt>
              </c:strCache>
            </c:strRef>
          </c:tx>
          <c:spPr>
            <a:solidFill>
              <a:srgbClr val="FED825"/>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250kW'!$I$168:$K$168</c:f>
              <c:numCache>
                <c:formatCode>0%</c:formatCode>
                <c:ptCount val="3"/>
                <c:pt idx="0">
                  <c:v>0</c:v>
                </c:pt>
                <c:pt idx="1">
                  <c:v>0</c:v>
                </c:pt>
                <c:pt idx="2">
                  <c:v>8.7983030585446552E-4</c:v>
                </c:pt>
              </c:numCache>
            </c:numRef>
          </c:val>
          <c:extLst>
            <c:ext xmlns:c16="http://schemas.microsoft.com/office/drawing/2014/chart" uri="{C3380CC4-5D6E-409C-BE32-E72D297353CC}">
              <c16:uniqueId val="{00000006-4C86-4AB2-9C1A-8185C558A872}"/>
            </c:ext>
          </c:extLst>
        </c:ser>
        <c:ser>
          <c:idx val="7"/>
          <c:order val="7"/>
          <c:tx>
            <c:strRef>
              <c:f>'WOS nephrops under 250kW'!$H$169</c:f>
              <c:strCache>
                <c:ptCount val="1"/>
                <c:pt idx="0">
                  <c:v>Whiting</c:v>
                </c:pt>
              </c:strCache>
            </c:strRef>
          </c:tx>
          <c:spPr>
            <a:solidFill>
              <a:srgbClr val="C1D119"/>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250kW'!$I$169:$K$169</c:f>
              <c:numCache>
                <c:formatCode>0%</c:formatCode>
                <c:ptCount val="3"/>
                <c:pt idx="0">
                  <c:v>1.7108232878003379E-2</c:v>
                </c:pt>
                <c:pt idx="1">
                  <c:v>0</c:v>
                </c:pt>
                <c:pt idx="2">
                  <c:v>0</c:v>
                </c:pt>
              </c:numCache>
            </c:numRef>
          </c:val>
          <c:extLst>
            <c:ext xmlns:c16="http://schemas.microsoft.com/office/drawing/2014/chart" uri="{C3380CC4-5D6E-409C-BE32-E72D297353CC}">
              <c16:uniqueId val="{00000007-4C86-4AB2-9C1A-8185C558A872}"/>
            </c:ext>
          </c:extLst>
        </c:ser>
        <c:ser>
          <c:idx val="8"/>
          <c:order val="8"/>
          <c:tx>
            <c:strRef>
              <c:f>'WOS nephrops under 250kW'!$H$170</c:f>
              <c:strCache>
                <c:ptCount val="1"/>
                <c:pt idx="0">
                  <c:v>Cod</c:v>
                </c:pt>
              </c:strCache>
            </c:strRef>
          </c:tx>
          <c:spPr>
            <a:solidFill>
              <a:srgbClr val="51AA81"/>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250kW'!$I$170:$K$170</c:f>
              <c:numCache>
                <c:formatCode>0%</c:formatCode>
                <c:ptCount val="3"/>
                <c:pt idx="0">
                  <c:v>6.4453513198796577E-3</c:v>
                </c:pt>
                <c:pt idx="1">
                  <c:v>0</c:v>
                </c:pt>
                <c:pt idx="2">
                  <c:v>0</c:v>
                </c:pt>
              </c:numCache>
            </c:numRef>
          </c:val>
          <c:extLst>
            <c:ext xmlns:c16="http://schemas.microsoft.com/office/drawing/2014/chart" uri="{C3380CC4-5D6E-409C-BE32-E72D297353CC}">
              <c16:uniqueId val="{00000008-4C86-4AB2-9C1A-8185C558A872}"/>
            </c:ext>
          </c:extLst>
        </c:ser>
        <c:ser>
          <c:idx val="9"/>
          <c:order val="9"/>
          <c:tx>
            <c:strRef>
              <c:f>'WOS nephrops under 250kW'!$H$171</c:f>
              <c:strCache>
                <c:ptCount val="1"/>
                <c:pt idx="0">
                  <c:v>Others</c:v>
                </c:pt>
              </c:strCache>
            </c:strRef>
          </c:tx>
          <c:spPr>
            <a:solidFill>
              <a:srgbClr val="55585A"/>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250kW'!$I$171:$K$171</c:f>
              <c:numCache>
                <c:formatCode>0%</c:formatCode>
                <c:ptCount val="3"/>
                <c:pt idx="0">
                  <c:v>1.2232512751791491E-2</c:v>
                </c:pt>
                <c:pt idx="1">
                  <c:v>2.4124084097868481E-3</c:v>
                </c:pt>
                <c:pt idx="2">
                  <c:v>1.6022900431843512E-3</c:v>
                </c:pt>
              </c:numCache>
            </c:numRef>
          </c:val>
          <c:extLst>
            <c:ext xmlns:c16="http://schemas.microsoft.com/office/drawing/2014/chart" uri="{C3380CC4-5D6E-409C-BE32-E72D297353CC}">
              <c16:uniqueId val="{00000009-4C86-4AB2-9C1A-8185C558A872}"/>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'WOS nephrops under 250kW'!$K$139</c:f>
              <c:strCache>
                <c:ptCount val="1"/>
                <c:pt idx="0">
                  <c:v>Total income</c:v>
                </c:pt>
              </c:strCache>
            </c:strRef>
          </c:tx>
          <c:spPr>
            <a:solidFill>
              <a:srgbClr val="087CBB"/>
            </a:solidFill>
            <a:ln>
              <a:solidFill>
                <a:schemeClr val="accent1"/>
              </a:solidFill>
            </a:ln>
          </c:spPr>
          <c:invertIfNegative val="0"/>
          <c:cat>
            <c:strRef>
              <c:f>'WOS nephrops under 250kW'!$L$138:$N$138</c:f>
              <c:strCache>
                <c:ptCount val="3"/>
                <c:pt idx="0">
                  <c:v>Most
profitable
quartile</c:v>
                </c:pt>
                <c:pt idx="1">
                  <c:v>Middle
two quartiles</c:v>
                </c:pt>
                <c:pt idx="2">
                  <c:v>Least
profitable
quartile</c:v>
                </c:pt>
              </c:strCache>
            </c:strRef>
          </c:cat>
          <c:val>
            <c:numRef>
              <c:f>'WOS nephrops under 250kW'!$L$139:$N$139</c:f>
              <c:numCache>
                <c:formatCode>#,##0</c:formatCode>
                <c:ptCount val="3"/>
                <c:pt idx="0">
                  <c:v>265.96346875</c:v>
                </c:pt>
                <c:pt idx="1">
                  <c:v>229.79292187499999</c:v>
                </c:pt>
                <c:pt idx="2">
                  <c:v>129.86514843750001</c:v>
                </c:pt>
              </c:numCache>
            </c:numRef>
          </c:val>
          <c:extLst>
            <c:ext xmlns:c16="http://schemas.microsoft.com/office/drawing/2014/chart" uri="{C3380CC4-5D6E-409C-BE32-E72D297353CC}">
              <c16:uniqueId val="{00000000-080D-4A26-BF60-232FC36CF17A}"/>
            </c:ext>
          </c:extLst>
        </c:ser>
        <c:ser>
          <c:idx val="1"/>
          <c:order val="1"/>
          <c:tx>
            <c:strRef>
              <c:f>'WOS nephrops under 250kW'!$K$140</c:f>
              <c:strCache>
                <c:ptCount val="1"/>
                <c:pt idx="0">
                  <c:v>Operating costs</c:v>
                </c:pt>
              </c:strCache>
            </c:strRef>
          </c:tx>
          <c:spPr>
            <a:solidFill>
              <a:srgbClr val="E87308"/>
            </a:solidFill>
          </c:spPr>
          <c:invertIfNegative val="0"/>
          <c:cat>
            <c:strRef>
              <c:f>'WOS nephrops under 250kW'!$L$138:$N$138</c:f>
              <c:strCache>
                <c:ptCount val="3"/>
                <c:pt idx="0">
                  <c:v>Most
profitable
quartile</c:v>
                </c:pt>
                <c:pt idx="1">
                  <c:v>Middle
two quartiles</c:v>
                </c:pt>
                <c:pt idx="2">
                  <c:v>Least
profitable
quartile</c:v>
                </c:pt>
              </c:strCache>
            </c:strRef>
          </c:cat>
          <c:val>
            <c:numRef>
              <c:f>'WOS nephrops under 250kW'!$L$140:$N$140</c:f>
              <c:numCache>
                <c:formatCode>#,##0</c:formatCode>
                <c:ptCount val="3"/>
                <c:pt idx="0">
                  <c:v>216.03898437500001</c:v>
                </c:pt>
                <c:pt idx="1">
                  <c:v>199.24814843749999</c:v>
                </c:pt>
                <c:pt idx="2">
                  <c:v>128.60246875000001</c:v>
                </c:pt>
              </c:numCache>
            </c:numRef>
          </c:val>
          <c:extLst>
            <c:ext xmlns:c16="http://schemas.microsoft.com/office/drawing/2014/chart" uri="{C3380CC4-5D6E-409C-BE32-E72D297353CC}">
              <c16:uniqueId val="{00000001-080D-4A26-BF60-232FC36CF17A}"/>
            </c:ext>
          </c:extLst>
        </c:ser>
        <c:ser>
          <c:idx val="2"/>
          <c:order val="2"/>
          <c:tx>
            <c:strRef>
              <c:f>'WOS nephrops under 250kW'!$K$141</c:f>
              <c:strCache>
                <c:ptCount val="1"/>
                <c:pt idx="0">
                  <c:v>Operating profit</c:v>
                </c:pt>
              </c:strCache>
            </c:strRef>
          </c:tx>
          <c:spPr>
            <a:solidFill>
              <a:srgbClr val="51AA81"/>
            </a:solidFill>
          </c:spPr>
          <c:invertIfNegative val="0"/>
          <c:cat>
            <c:strRef>
              <c:f>'WOS nephrops under 250kW'!$L$138:$N$138</c:f>
              <c:strCache>
                <c:ptCount val="3"/>
                <c:pt idx="0">
                  <c:v>Most
profitable
quartile</c:v>
                </c:pt>
                <c:pt idx="1">
                  <c:v>Middle
two quartiles</c:v>
                </c:pt>
                <c:pt idx="2">
                  <c:v>Least
profitable
quartile</c:v>
                </c:pt>
              </c:strCache>
            </c:strRef>
          </c:cat>
          <c:val>
            <c:numRef>
              <c:f>'WOS nephrops under 250kW'!$L$141:$N$141</c:f>
              <c:numCache>
                <c:formatCode>#,##0</c:formatCode>
                <c:ptCount val="3"/>
                <c:pt idx="0">
                  <c:v>49.924484374999999</c:v>
                </c:pt>
                <c:pt idx="1">
                  <c:v>30.544773437500002</c:v>
                </c:pt>
                <c:pt idx="2">
                  <c:v>1.2626796874999999</c:v>
                </c:pt>
              </c:numCache>
            </c:numRef>
          </c:val>
          <c:extLst>
            <c:ext xmlns:c16="http://schemas.microsoft.com/office/drawing/2014/chart" uri="{C3380CC4-5D6E-409C-BE32-E72D297353CC}">
              <c16:uniqueId val="{00000002-080D-4A26-BF60-232FC36CF17A}"/>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'WOS nephrops under 250kW'!$K$142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24-40m'!$A$49</c:f>
          <c:strCache>
            <c:ptCount val="1"/>
            <c:pt idx="0">
              <c:v>Fishing income per kW day at sea (£)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9504-4255-BF2A-AF1FAB88C212}"/>
              </c:ext>
            </c:extLst>
          </c:dPt>
          <c:dPt>
            <c:idx val="10"/>
            <c:bubble3D val="0"/>
            <c:spPr>
              <a:ln w="57150">
                <a:solidFill>
                  <a:srgbClr val="648C2E"/>
                </a:solidFill>
                <a:prstDash val="sysDot"/>
              </a:ln>
            </c:spPr>
            <c:extLst>
              <c:ext xmlns:c16="http://schemas.microsoft.com/office/drawing/2014/chart" uri="{C3380CC4-5D6E-409C-BE32-E72D297353CC}">
                <c16:uniqueId val="{00000003-9504-4255-BF2A-AF1FAB88C212}"/>
              </c:ext>
            </c:extLst>
          </c:dPt>
          <c:cat>
            <c:numRef>
              <c:f>'Area VIIb-k trawlers 24-40m'!$D$2:$N$2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'Area VIIb-k trawlers 24-40m'!$D$22:$N$22</c:f>
              <c:numCache>
                <c:formatCode>#,##0.00</c:formatCode>
                <c:ptCount val="11"/>
                <c:pt idx="0">
                  <c:v>8.4912041832128899</c:v>
                </c:pt>
                <c:pt idx="1">
                  <c:v>8.9223755256592892</c:v>
                </c:pt>
                <c:pt idx="2">
                  <c:v>10.557986268021301</c:v>
                </c:pt>
                <c:pt idx="3">
                  <c:v>10.305043702408</c:v>
                </c:pt>
                <c:pt idx="4">
                  <c:v>11.626640062013699</c:v>
                </c:pt>
                <c:pt idx="5">
                  <c:v>10.869598814532999</c:v>
                </c:pt>
                <c:pt idx="6">
                  <c:v>11.4268610967524</c:v>
                </c:pt>
                <c:pt idx="7">
                  <c:v>10.8551169534368</c:v>
                </c:pt>
                <c:pt idx="8">
                  <c:v>11.178033581649199</c:v>
                </c:pt>
                <c:pt idx="9">
                  <c:v>9.5930684630586391</c:v>
                </c:pt>
                <c:pt idx="10">
                  <c:v>7.7012275063898414</c:v>
                </c:pt>
              </c:numCache>
            </c:numRef>
          </c:val>
          <c:smooth val="0"/>
          <c:extLst>
            <c:ext xmlns:c16="http://schemas.microsoft.com/office/drawing/2014/chart" uri="{C3380CC4-5D6E-409C-BE32-E72D297353CC}">
              <c16:uniqueId val="{00000004-9504-4255-BF2A-AF1FAB88C212}"/>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24-40m'!$B$62</c:f>
          <c:strCache>
            <c:ptCount val="1"/>
            <c:pt idx="0">
              <c:v>Total cost per kW day at sea (£)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4757-4D52-9D55-1DE2B22AA57C}"/>
              </c:ext>
            </c:extLst>
          </c:dPt>
          <c:dPt>
            <c:idx val="10"/>
            <c:bubble3D val="0"/>
            <c:spPr>
              <a:ln w="57150">
                <a:solidFill>
                  <a:srgbClr val="087CBB"/>
                </a:solidFill>
                <a:prstDash val="sysDot"/>
              </a:ln>
            </c:spPr>
            <c:extLst>
              <c:ext xmlns:c16="http://schemas.microsoft.com/office/drawing/2014/chart" uri="{C3380CC4-5D6E-409C-BE32-E72D297353CC}">
                <c16:uniqueId val="{00000003-4757-4D52-9D55-1DE2B22AA57C}"/>
              </c:ext>
            </c:extLst>
          </c:dPt>
          <c:cat>
            <c:numRef>
              <c:f>'Area VIIb-k trawlers 24-40m'!$D$2:$N$2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'Area VIIb-k trawlers 24-40m'!$D$23:$N$23</c:f>
              <c:numCache>
                <c:formatCode>#,##0.00</c:formatCode>
                <c:ptCount val="11"/>
                <c:pt idx="0">
                  <c:v>6.3304131941280604</c:v>
                </c:pt>
                <c:pt idx="1">
                  <c:v>7.0435134793104099</c:v>
                </c:pt>
                <c:pt idx="2">
                  <c:v>10.672070118768399</c:v>
                </c:pt>
                <c:pt idx="3">
                  <c:v>10.4331316431474</c:v>
                </c:pt>
                <c:pt idx="4">
                  <c:v>11.521655345633199</c:v>
                </c:pt>
                <c:pt idx="5">
                  <c:v>10.2291613143849</c:v>
                </c:pt>
                <c:pt idx="6">
                  <c:v>7.6629225181417198</c:v>
                </c:pt>
                <c:pt idx="7">
                  <c:v>10.227836152417201</c:v>
                </c:pt>
                <c:pt idx="8">
                  <c:v>10.8178737929539</c:v>
                </c:pt>
                <c:pt idx="9">
                  <c:v>8.9581026949997398</c:v>
                </c:pt>
                <c:pt idx="10">
                  <c:v>7.4772151014069363</c:v>
                </c:pt>
              </c:numCache>
            </c:numRef>
          </c:val>
          <c:smooth val="0"/>
          <c:extLst>
            <c:ext xmlns:c16="http://schemas.microsoft.com/office/drawing/2014/chart" uri="{C3380CC4-5D6E-409C-BE32-E72D297353CC}">
              <c16:uniqueId val="{00000004-4757-4D52-9D55-1DE2B22AA57C}"/>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trawl'!$K$48</c:f>
          <c:strCache>
            <c:ptCount val="1"/>
            <c:pt idx="0">
              <c:v>Operating profit per kW day at sea (£)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A7FD-497F-88A3-D2B4420745C9}"/>
              </c:ext>
            </c:extLst>
          </c:dPt>
          <c:dPt>
            <c:idx val="10"/>
            <c:bubble3D val="0"/>
            <c:spPr>
              <a:ln w="57150">
                <a:solidFill>
                  <a:schemeClr val="accent3"/>
                </a:solidFill>
                <a:prstDash val="sysDot"/>
              </a:ln>
            </c:spPr>
            <c:extLst>
              <c:ext xmlns:c16="http://schemas.microsoft.com/office/drawing/2014/chart" uri="{C3380CC4-5D6E-409C-BE32-E72D297353CC}">
                <c16:uniqueId val="{00000003-A7FD-497F-88A3-D2B4420745C9}"/>
              </c:ext>
            </c:extLst>
          </c:dPt>
          <c:cat>
            <c:numRef>
              <c:f>'Area VIIa demersal trawl'!$D$2:$N$2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'Area VIIa demersal trawl'!$D$24:$N$24</c:f>
              <c:numCache>
                <c:formatCode>#,##0.00</c:formatCode>
                <c:ptCount val="11"/>
                <c:pt idx="0">
                  <c:v>0.72155894929125697</c:v>
                </c:pt>
                <c:pt idx="1">
                  <c:v>0.37174864274498298</c:v>
                </c:pt>
                <c:pt idx="2">
                  <c:v>0.74699859712946404</c:v>
                </c:pt>
                <c:pt idx="3">
                  <c:v>1.01176363842766</c:v>
                </c:pt>
                <c:pt idx="4">
                  <c:v>0.98137425345028995</c:v>
                </c:pt>
                <c:pt idx="5">
                  <c:v>1.5055600645712901</c:v>
                </c:pt>
                <c:pt idx="6">
                  <c:v>2.03133718072442</c:v>
                </c:pt>
                <c:pt idx="7">
                  <c:v>1.4749092592469599</c:v>
                </c:pt>
                <c:pt idx="8">
                  <c:v>1.44782661017769</c:v>
                </c:pt>
                <c:pt idx="9">
                  <c:v>1.6684611811677299</c:v>
                </c:pt>
                <c:pt idx="10">
                  <c:v>-0.24504020872599011</c:v>
                </c:pt>
              </c:numCache>
            </c:numRef>
          </c:val>
          <c:smooth val="0"/>
          <c:extLst>
            <c:ext xmlns:c16="http://schemas.microsoft.com/office/drawing/2014/chart" uri="{C3380CC4-5D6E-409C-BE32-E72D297353CC}">
              <c16:uniqueId val="{00000004-A7FD-497F-88A3-D2B4420745C9}"/>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24-40m'!$K$48</c:f>
          <c:strCache>
            <c:ptCount val="1"/>
            <c:pt idx="0">
              <c:v>Operating profit per kW day at sea (£)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4063-4BC2-9CB8-D8F3F20C8753}"/>
              </c:ext>
            </c:extLst>
          </c:dPt>
          <c:dPt>
            <c:idx val="10"/>
            <c:bubble3D val="0"/>
            <c:spPr>
              <a:ln w="57150">
                <a:solidFill>
                  <a:schemeClr val="accent3"/>
                </a:solidFill>
                <a:prstDash val="sysDot"/>
              </a:ln>
            </c:spPr>
            <c:extLst>
              <c:ext xmlns:c16="http://schemas.microsoft.com/office/drawing/2014/chart" uri="{C3380CC4-5D6E-409C-BE32-E72D297353CC}">
                <c16:uniqueId val="{00000003-4063-4BC2-9CB8-D8F3F20C8753}"/>
              </c:ext>
            </c:extLst>
          </c:dPt>
          <c:cat>
            <c:numRef>
              <c:f>'Area VIIb-k trawlers 24-40m'!$D$2:$N$2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'Area VIIb-k trawlers 24-40m'!$D$24:$N$24</c:f>
              <c:numCache>
                <c:formatCode>#,##0.00</c:formatCode>
                <c:ptCount val="11"/>
                <c:pt idx="0">
                  <c:v>2.1847813704321899</c:v>
                </c:pt>
                <c:pt idx="1">
                  <c:v>1.9040706251801001</c:v>
                </c:pt>
                <c:pt idx="2">
                  <c:v>-8.4254146517030504E-2</c:v>
                </c:pt>
                <c:pt idx="3">
                  <c:v>-9.8972881623420203E-2</c:v>
                </c:pt>
                <c:pt idx="4">
                  <c:v>0.25031581062846298</c:v>
                </c:pt>
                <c:pt idx="5">
                  <c:v>0.74018273761259401</c:v>
                </c:pt>
                <c:pt idx="6">
                  <c:v>3.7962231313940502</c:v>
                </c:pt>
                <c:pt idx="7">
                  <c:v>0.80813434448657295</c:v>
                </c:pt>
                <c:pt idx="8">
                  <c:v>0.39174132851962201</c:v>
                </c:pt>
                <c:pt idx="9">
                  <c:v>0.65303476821361295</c:v>
                </c:pt>
                <c:pt idx="10">
                  <c:v>0.28194426498169417</c:v>
                </c:pt>
              </c:numCache>
            </c:numRef>
          </c:val>
          <c:smooth val="0"/>
          <c:extLst>
            <c:ext xmlns:c16="http://schemas.microsoft.com/office/drawing/2014/chart" uri="{C3380CC4-5D6E-409C-BE32-E72D297353CC}">
              <c16:uniqueId val="{00000004-4063-4BC2-9CB8-D8F3F20C8753}"/>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24-40m'!$A$50</c:f>
          <c:strCache>
            <c:ptCount val="1"/>
            <c:pt idx="0">
              <c:v>Average price per tonne landed (£)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D667-46F6-B2CD-52108173DCC4}"/>
              </c:ext>
            </c:extLst>
          </c:dPt>
          <c:dPt>
            <c:idx val="10"/>
            <c:bubble3D val="0"/>
            <c:spPr>
              <a:ln w="57150">
                <a:solidFill>
                  <a:schemeClr val="accent4"/>
                </a:solidFill>
                <a:prstDash val="sysDot"/>
              </a:ln>
            </c:spPr>
            <c:extLst>
              <c:ext xmlns:c16="http://schemas.microsoft.com/office/drawing/2014/chart" uri="{C3380CC4-5D6E-409C-BE32-E72D297353CC}">
                <c16:uniqueId val="{00000003-D667-46F6-B2CD-52108173DCC4}"/>
              </c:ext>
            </c:extLst>
          </c:dPt>
          <c:cat>
            <c:numRef>
              <c:f>'Area VIIb-k trawlers 24-40m'!$D$2:$M$2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'Area VIIb-k trawlers 24-40m'!$D$20:$N$20</c:f>
              <c:numCache>
                <c:formatCode>#,##0</c:formatCode>
                <c:ptCount val="11"/>
                <c:pt idx="0">
                  <c:v>3340</c:v>
                </c:pt>
                <c:pt idx="1">
                  <c:v>3061</c:v>
                </c:pt>
                <c:pt idx="2">
                  <c:v>3079</c:v>
                </c:pt>
                <c:pt idx="3">
                  <c:v>2910</c:v>
                </c:pt>
                <c:pt idx="4">
                  <c:v>3162</c:v>
                </c:pt>
                <c:pt idx="5">
                  <c:v>3043</c:v>
                </c:pt>
                <c:pt idx="6">
                  <c:v>3580</c:v>
                </c:pt>
                <c:pt idx="7">
                  <c:v>3348</c:v>
                </c:pt>
                <c:pt idx="8">
                  <c:v>3436</c:v>
                </c:pt>
                <c:pt idx="9">
                  <c:v>2918</c:v>
                </c:pt>
                <c:pt idx="10">
                  <c:v>2456</c:v>
                </c:pt>
              </c:numCache>
            </c:numRef>
          </c:val>
          <c:smooth val="0"/>
          <c:extLst>
            <c:ext xmlns:c16="http://schemas.microsoft.com/office/drawing/2014/chart" uri="{C3380CC4-5D6E-409C-BE32-E72D297353CC}">
              <c16:uniqueId val="{00000004-D667-46F6-B2CD-52108173DCC4}"/>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24-40m'!$K$62</c:f>
          <c:strCache>
            <c:ptCount val="1"/>
            <c:pt idx="0">
              <c:v>Average annual operating profit per vessel (£'000)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B8E7-4D65-91F1-8F7AE82877BF}"/>
              </c:ext>
            </c:extLst>
          </c:dPt>
          <c:dPt>
            <c:idx val="10"/>
            <c:bubble3D val="0"/>
            <c:spPr>
              <a:ln w="57150">
                <a:solidFill>
                  <a:schemeClr val="accent5"/>
                </a:solidFill>
                <a:prstDash val="sysDot"/>
              </a:ln>
            </c:spPr>
            <c:extLst>
              <c:ext xmlns:c16="http://schemas.microsoft.com/office/drawing/2014/chart" uri="{C3380CC4-5D6E-409C-BE32-E72D297353CC}">
                <c16:uniqueId val="{00000003-B8E7-4D65-91F1-8F7AE82877BF}"/>
              </c:ext>
            </c:extLst>
          </c:dPt>
          <c:cat>
            <c:numRef>
              <c:f>'Area VIIb-k trawlers 24-40m'!$D$2:$M$2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'Area VIIb-k trawlers 24-40m'!$D$37:$N$37</c:f>
              <c:numCache>
                <c:formatCode>#,##0.0</c:formatCode>
                <c:ptCount val="11"/>
                <c:pt idx="0">
                  <c:v>398.2</c:v>
                </c:pt>
                <c:pt idx="1">
                  <c:v>336.3</c:v>
                </c:pt>
                <c:pt idx="2">
                  <c:v>-14.6</c:v>
                </c:pt>
                <c:pt idx="3">
                  <c:v>-14.7</c:v>
                </c:pt>
                <c:pt idx="4">
                  <c:v>43.6</c:v>
                </c:pt>
                <c:pt idx="5">
                  <c:v>126.9</c:v>
                </c:pt>
                <c:pt idx="6">
                  <c:v>682.9</c:v>
                </c:pt>
                <c:pt idx="7">
                  <c:v>126</c:v>
                </c:pt>
                <c:pt idx="8">
                  <c:v>59.3</c:v>
                </c:pt>
                <c:pt idx="9">
                  <c:v>89.8</c:v>
                </c:pt>
                <c:pt idx="10">
                  <c:v>46.800000000000004</c:v>
                </c:pt>
              </c:numCache>
            </c:numRef>
          </c:val>
          <c:smooth val="0"/>
          <c:extLst>
            <c:ext xmlns:c16="http://schemas.microsoft.com/office/drawing/2014/chart" uri="{C3380CC4-5D6E-409C-BE32-E72D297353CC}">
              <c16:uniqueId val="{00000004-B8E7-4D65-91F1-8F7AE82877BF}"/>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24-40m'!$A$76</c:f>
          <c:strCache>
            <c:ptCount val="1"/>
            <c:pt idx="0">
              <c:v>Top 5 landed species by volume in 2019
Area VIIBCDEFGHK 24-40m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C86A-4D01-809C-B2E596D64637}"/>
              </c:ext>
            </c:extLst>
          </c:dPt>
          <c:dPt>
            <c:idx val="1"/>
            <c:bubble3D val="0"/>
            <c:spPr>
              <a:solidFill>
                <a:srgbClr val="E87308"/>
              </a:solidFill>
              <a:ln>
                <a:solidFill>
                  <a:srgbClr val="FFFFFF"/>
                </a:solidFill>
              </a:ln>
            </c:spPr>
            <c:extLst>
              <c:ext xmlns:c16="http://schemas.microsoft.com/office/drawing/2014/chart" uri="{C3380CC4-5D6E-409C-BE32-E72D297353CC}">
                <c16:uniqueId val="{00000003-C86A-4D01-809C-B2E596D64637}"/>
              </c:ext>
            </c:extLst>
          </c:dPt>
          <c:dPt>
            <c:idx val="2"/>
            <c:bubble3D val="0"/>
            <c:spPr>
              <a:solidFill>
                <a:srgbClr val="C1D119"/>
              </a:solidFill>
              <a:ln>
                <a:solidFill>
                  <a:srgbClr val="FFFFFF"/>
                </a:solidFill>
              </a:ln>
            </c:spPr>
            <c:extLst>
              <c:ext xmlns:c16="http://schemas.microsoft.com/office/drawing/2014/chart" uri="{C3380CC4-5D6E-409C-BE32-E72D297353CC}">
                <c16:uniqueId val="{00000005-C86A-4D01-809C-B2E596D64637}"/>
              </c:ext>
            </c:extLst>
          </c:dPt>
          <c:dPt>
            <c:idx val="3"/>
            <c:bubble3D val="0"/>
            <c:spPr>
              <a:solidFill>
                <a:srgbClr val="E84A38"/>
              </a:solidFill>
              <a:ln>
                <a:solidFill>
                  <a:srgbClr val="FFFFFF"/>
                </a:solidFill>
              </a:ln>
            </c:spPr>
            <c:extLst>
              <c:ext xmlns:c16="http://schemas.microsoft.com/office/drawing/2014/chart" uri="{C3380CC4-5D6E-409C-BE32-E72D297353CC}">
                <c16:uniqueId val="{00000007-C86A-4D01-809C-B2E596D64637}"/>
              </c:ext>
            </c:extLst>
          </c:dPt>
          <c:dPt>
            <c:idx val="4"/>
            <c:bubble3D val="0"/>
            <c:spPr>
              <a:solidFill>
                <a:srgbClr val="648C2E"/>
              </a:solidFill>
              <a:ln>
                <a:solidFill>
                  <a:srgbClr val="FFFFFF"/>
                </a:solidFill>
              </a:ln>
            </c:spPr>
            <c:extLst>
              <c:ext xmlns:c16="http://schemas.microsoft.com/office/drawing/2014/chart" uri="{C3380CC4-5D6E-409C-BE32-E72D297353CC}">
                <c16:uniqueId val="{00000009-C86A-4D01-809C-B2E596D64637}"/>
              </c:ext>
            </c:extLst>
          </c:dPt>
          <c:dPt>
            <c:idx val="5"/>
            <c:bubble3D val="0"/>
            <c:spPr>
              <a:solidFill>
                <a:srgbClr val="55585A"/>
              </a:solidFill>
              <a:ln>
                <a:solidFill>
                  <a:srgbClr val="FFFFFF"/>
                </a:solidFill>
              </a:ln>
            </c:spPr>
            <c:extLst>
              <c:ext xmlns:c16="http://schemas.microsoft.com/office/drawing/2014/chart" uri="{C3380CC4-5D6E-409C-BE32-E72D297353CC}">
                <c16:uniqueId val="{0000000B-C86A-4D01-809C-B2E596D64637}"/>
              </c:ext>
            </c:extLst>
          </c:dPt>
          <c:cat>
            <c:strRef>
              <c:f>'Area VIIb-k trawlers 24-40m'!$B$77:$B$82</c:f>
              <c:strCache>
                <c:ptCount val="6"/>
                <c:pt idx="0">
                  <c:v>Anglerfish - 37.7%</c:v>
                </c:pt>
                <c:pt idx="1">
                  <c:v>Megrim - 25.6%</c:v>
                </c:pt>
                <c:pt idx="2">
                  <c:v>Hake - 5.9%</c:v>
                </c:pt>
                <c:pt idx="3">
                  <c:v>Witch - 4.8%</c:v>
                </c:pt>
                <c:pt idx="4">
                  <c:v>Nephrops - 3.3%</c:v>
                </c:pt>
                <c:pt idx="5">
                  <c:v>Others - 22.7%</c:v>
                </c:pt>
              </c:strCache>
            </c:strRef>
          </c:cat>
          <c:val>
            <c:numRef>
              <c:f>'Area VIIb-k trawlers 24-40m'!$C$77:$C$82</c:f>
              <c:numCache>
                <c:formatCode>0.0%</c:formatCode>
                <c:ptCount val="6"/>
                <c:pt idx="0">
                  <c:v>0.37718398475208487</c:v>
                </c:pt>
                <c:pt idx="1">
                  <c:v>0.2561172092452057</c:v>
                </c:pt>
                <c:pt idx="2">
                  <c:v>5.8616343149368998E-2</c:v>
                </c:pt>
                <c:pt idx="3">
                  <c:v>4.8459195064298986E-2</c:v>
                </c:pt>
                <c:pt idx="4">
                  <c:v>3.2952092384173036E-2</c:v>
                </c:pt>
                <c:pt idx="5">
                  <c:v>0.22667117540486836</c:v>
                </c:pt>
              </c:numCache>
            </c:numRef>
          </c:val>
          <c:extLst>
            <c:ext xmlns:c16="http://schemas.microsoft.com/office/drawing/2014/chart" uri="{C3380CC4-5D6E-409C-BE32-E72D297353CC}">
              <c16:uniqueId val="{0000000C-C86A-4D01-809C-B2E596D64637}"/>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24-40m'!$F$76</c:f>
          <c:strCache>
            <c:ptCount val="1"/>
            <c:pt idx="0">
              <c:v>Top 5 landed species by value in 2019
Area VIIBCDEFGHK 24-40m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5E42-43E7-9F90-273DBB57E8AC}"/>
              </c:ext>
            </c:extLst>
          </c:dPt>
          <c:dPt>
            <c:idx val="1"/>
            <c:bubble3D val="0"/>
            <c:spPr>
              <a:solidFill>
                <a:srgbClr val="E87308"/>
              </a:solidFill>
              <a:ln>
                <a:solidFill>
                  <a:srgbClr val="FFFFFF"/>
                </a:solidFill>
              </a:ln>
            </c:spPr>
            <c:extLst>
              <c:ext xmlns:c16="http://schemas.microsoft.com/office/drawing/2014/chart" uri="{C3380CC4-5D6E-409C-BE32-E72D297353CC}">
                <c16:uniqueId val="{00000003-5E42-43E7-9F90-273DBB57E8AC}"/>
              </c:ext>
            </c:extLst>
          </c:dPt>
          <c:dPt>
            <c:idx val="2"/>
            <c:bubble3D val="0"/>
            <c:spPr>
              <a:solidFill>
                <a:srgbClr val="648C2E"/>
              </a:solidFill>
              <a:ln>
                <a:solidFill>
                  <a:srgbClr val="FFFFFF"/>
                </a:solidFill>
              </a:ln>
            </c:spPr>
            <c:extLst>
              <c:ext xmlns:c16="http://schemas.microsoft.com/office/drawing/2014/chart" uri="{C3380CC4-5D6E-409C-BE32-E72D297353CC}">
                <c16:uniqueId val="{00000005-5E42-43E7-9F90-273DBB57E8AC}"/>
              </c:ext>
            </c:extLst>
          </c:dPt>
          <c:dPt>
            <c:idx val="3"/>
            <c:bubble3D val="0"/>
            <c:spPr>
              <a:solidFill>
                <a:srgbClr val="C1D119"/>
              </a:solidFill>
              <a:ln>
                <a:solidFill>
                  <a:srgbClr val="FFFFFF"/>
                </a:solidFill>
              </a:ln>
            </c:spPr>
            <c:extLst>
              <c:ext xmlns:c16="http://schemas.microsoft.com/office/drawing/2014/chart" uri="{C3380CC4-5D6E-409C-BE32-E72D297353CC}">
                <c16:uniqueId val="{00000007-5E42-43E7-9F90-273DBB57E8AC}"/>
              </c:ext>
            </c:extLst>
          </c:dPt>
          <c:dPt>
            <c:idx val="4"/>
            <c:bubble3D val="0"/>
            <c:spPr>
              <a:solidFill>
                <a:srgbClr val="E84A38"/>
              </a:solidFill>
              <a:ln>
                <a:solidFill>
                  <a:srgbClr val="FFFFFF"/>
                </a:solidFill>
              </a:ln>
            </c:spPr>
            <c:extLst>
              <c:ext xmlns:c16="http://schemas.microsoft.com/office/drawing/2014/chart" uri="{C3380CC4-5D6E-409C-BE32-E72D297353CC}">
                <c16:uniqueId val="{00000009-5E42-43E7-9F90-273DBB57E8AC}"/>
              </c:ext>
            </c:extLst>
          </c:dPt>
          <c:dPt>
            <c:idx val="5"/>
            <c:bubble3D val="0"/>
            <c:spPr>
              <a:solidFill>
                <a:srgbClr val="55585A"/>
              </a:solidFill>
              <a:ln>
                <a:solidFill>
                  <a:srgbClr val="FFFFFF"/>
                </a:solidFill>
              </a:ln>
            </c:spPr>
            <c:extLst>
              <c:ext xmlns:c16="http://schemas.microsoft.com/office/drawing/2014/chart" uri="{C3380CC4-5D6E-409C-BE32-E72D297353CC}">
                <c16:uniqueId val="{0000000B-5E42-43E7-9F90-273DBB57E8AC}"/>
              </c:ext>
            </c:extLst>
          </c:dPt>
          <c:cat>
            <c:strRef>
              <c:f>'Area VIIb-k trawlers 24-40m'!$G$77:$G$82</c:f>
              <c:strCache>
                <c:ptCount val="6"/>
                <c:pt idx="0">
                  <c:v>Anglerfish - 48.0%</c:v>
                </c:pt>
                <c:pt idx="1">
                  <c:v>Megrim - 24.1%</c:v>
                </c:pt>
                <c:pt idx="2">
                  <c:v>Nephrops - 6.9%</c:v>
                </c:pt>
                <c:pt idx="3">
                  <c:v>Hake - 4.0%</c:v>
                </c:pt>
                <c:pt idx="4">
                  <c:v>Witch - 2.9%</c:v>
                </c:pt>
                <c:pt idx="5">
                  <c:v>Others - 14.1%</c:v>
                </c:pt>
              </c:strCache>
            </c:strRef>
          </c:cat>
          <c:val>
            <c:numRef>
              <c:f>'Area VIIb-k trawlers 24-40m'!$H$77:$H$82</c:f>
              <c:numCache>
                <c:formatCode>0.0%</c:formatCode>
                <c:ptCount val="6"/>
                <c:pt idx="0">
                  <c:v>0.47984328280083893</c:v>
                </c:pt>
                <c:pt idx="1">
                  <c:v>0.241249614301356</c:v>
                </c:pt>
                <c:pt idx="2">
                  <c:v>6.9384290808120502E-2</c:v>
                </c:pt>
                <c:pt idx="3">
                  <c:v>3.9842838337258449E-2</c:v>
                </c:pt>
                <c:pt idx="4">
                  <c:v>2.8541443455460822E-2</c:v>
                </c:pt>
                <c:pt idx="5">
                  <c:v>0.14113853029696533</c:v>
                </c:pt>
              </c:numCache>
            </c:numRef>
          </c:val>
          <c:extLst>
            <c:ext xmlns:c16="http://schemas.microsoft.com/office/drawing/2014/chart" uri="{C3380CC4-5D6E-409C-BE32-E72D297353CC}">
              <c16:uniqueId val="{0000000C-5E42-43E7-9F90-273DBB57E8AC}"/>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24-40m'!$K$77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VIIb-k trawlers 24-40m'!$C$92</c:f>
              <c:strCache>
                <c:ptCount val="1"/>
                <c:pt idx="0">
                  <c:v>Anglerfish</c:v>
                </c:pt>
              </c:strCache>
            </c:strRef>
          </c:tx>
          <c:spPr>
            <a:solidFill>
              <a:srgbClr val="2273B9"/>
            </a:solidFill>
            <a:ln>
              <a:solidFill>
                <a:srgbClr val="FFFFFF"/>
              </a:solidFill>
            </a:ln>
          </c:spPr>
          <c:invertIfNegative val="0"/>
          <c:cat>
            <c:numRef>
              <c:f>'Area VIIb-k trawlers 24-40m'!$D$91:$M$91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24-40m'!$D$92:$M$92</c:f>
              <c:numCache>
                <c:formatCode>0%</c:formatCode>
                <c:ptCount val="10"/>
                <c:pt idx="0">
                  <c:v>0.30442663104583473</c:v>
                </c:pt>
                <c:pt idx="1">
                  <c:v>0.29920042342514119</c:v>
                </c:pt>
                <c:pt idx="2">
                  <c:v>0.4031881504887127</c:v>
                </c:pt>
                <c:pt idx="3">
                  <c:v>0.40701506377959568</c:v>
                </c:pt>
                <c:pt idx="4">
                  <c:v>0.38506751811489454</c:v>
                </c:pt>
                <c:pt idx="5">
                  <c:v>0.45823946110685815</c:v>
                </c:pt>
                <c:pt idx="6">
                  <c:v>0.43862121460453507</c:v>
                </c:pt>
                <c:pt idx="7">
                  <c:v>0.4587744128226347</c:v>
                </c:pt>
                <c:pt idx="8">
                  <c:v>0.47984328280083893</c:v>
                </c:pt>
                <c:pt idx="9">
                  <c:v>0.47432368508969064</c:v>
                </c:pt>
              </c:numCache>
            </c:numRef>
          </c:val>
          <c:extLst>
            <c:ext xmlns:c16="http://schemas.microsoft.com/office/drawing/2014/chart" uri="{C3380CC4-5D6E-409C-BE32-E72D297353CC}">
              <c16:uniqueId val="{00000000-BBD4-4465-B6FA-5E15888E985C}"/>
            </c:ext>
          </c:extLst>
        </c:ser>
        <c:ser>
          <c:idx val="1"/>
          <c:order val="1"/>
          <c:tx>
            <c:strRef>
              <c:f>'Area VIIb-k trawlers 24-40m'!$C$93</c:f>
              <c:strCache>
                <c:ptCount val="1"/>
                <c:pt idx="0">
                  <c:v>Megrim</c:v>
                </c:pt>
              </c:strCache>
            </c:strRef>
          </c:tx>
          <c:spPr>
            <a:solidFill>
              <a:srgbClr val="E87308"/>
            </a:solidFill>
            <a:ln>
              <a:solidFill>
                <a:srgbClr val="FFFFFF"/>
              </a:solidFill>
            </a:ln>
          </c:spPr>
          <c:invertIfNegative val="0"/>
          <c:cat>
            <c:numRef>
              <c:f>'Area VIIb-k trawlers 24-40m'!$D$91:$M$91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24-40m'!$D$93:$M$93</c:f>
              <c:numCache>
                <c:formatCode>0%</c:formatCode>
                <c:ptCount val="10"/>
                <c:pt idx="0">
                  <c:v>0.2673153657787683</c:v>
                </c:pt>
                <c:pt idx="1">
                  <c:v>0.25100149250787346</c:v>
                </c:pt>
                <c:pt idx="2">
                  <c:v>0.32393297562530143</c:v>
                </c:pt>
                <c:pt idx="3">
                  <c:v>0.32545855941152041</c:v>
                </c:pt>
                <c:pt idx="4">
                  <c:v>0.30892385848014436</c:v>
                </c:pt>
                <c:pt idx="5">
                  <c:v>0.33941883631047026</c:v>
                </c:pt>
                <c:pt idx="6">
                  <c:v>0.30968710313490122</c:v>
                </c:pt>
                <c:pt idx="7">
                  <c:v>0.26760876733399463</c:v>
                </c:pt>
                <c:pt idx="8">
                  <c:v>0.241249614301356</c:v>
                </c:pt>
                <c:pt idx="9">
                  <c:v>0.25843460411099983</c:v>
                </c:pt>
              </c:numCache>
            </c:numRef>
          </c:val>
          <c:extLst>
            <c:ext xmlns:c16="http://schemas.microsoft.com/office/drawing/2014/chart" uri="{C3380CC4-5D6E-409C-BE32-E72D297353CC}">
              <c16:uniqueId val="{00000001-BBD4-4465-B6FA-5E15888E985C}"/>
            </c:ext>
          </c:extLst>
        </c:ser>
        <c:ser>
          <c:idx val="2"/>
          <c:order val="2"/>
          <c:tx>
            <c:strRef>
              <c:f>'Area VIIb-k trawlers 24-40m'!$C$94</c:f>
              <c:strCache>
                <c:ptCount val="1"/>
                <c:pt idx="0">
                  <c:v>Nephrops</c:v>
                </c:pt>
              </c:strCache>
            </c:strRef>
          </c:tx>
          <c:spPr>
            <a:solidFill>
              <a:srgbClr val="648C2E"/>
            </a:solidFill>
            <a:ln>
              <a:solidFill>
                <a:srgbClr val="FFFFFF"/>
              </a:solidFill>
            </a:ln>
          </c:spPr>
          <c:invertIfNegative val="0"/>
          <c:cat>
            <c:numRef>
              <c:f>'Area VIIb-k trawlers 24-40m'!$D$91:$M$91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24-40m'!$D$94:$M$94</c:f>
              <c:numCache>
                <c:formatCode>0%</c:formatCode>
                <c:ptCount val="10"/>
                <c:pt idx="5">
                  <c:v>3.6085591352397257E-2</c:v>
                </c:pt>
                <c:pt idx="6">
                  <c:v>7.8080402166688614E-2</c:v>
                </c:pt>
                <c:pt idx="7">
                  <c:v>6.2714745381407255E-2</c:v>
                </c:pt>
                <c:pt idx="8">
                  <c:v>6.9384290808120502E-2</c:v>
                </c:pt>
                <c:pt idx="9">
                  <c:v>4.4411901657755409E-2</c:v>
                </c:pt>
              </c:numCache>
            </c:numRef>
          </c:val>
          <c:extLst>
            <c:ext xmlns:c16="http://schemas.microsoft.com/office/drawing/2014/chart" uri="{C3380CC4-5D6E-409C-BE32-E72D297353CC}">
              <c16:uniqueId val="{00000002-BBD4-4465-B6FA-5E15888E985C}"/>
            </c:ext>
          </c:extLst>
        </c:ser>
        <c:ser>
          <c:idx val="3"/>
          <c:order val="3"/>
          <c:tx>
            <c:strRef>
              <c:f>'Area VIIb-k trawlers 24-40m'!$C$95</c:f>
              <c:strCache>
                <c:ptCount val="1"/>
                <c:pt idx="0">
                  <c:v>Hake</c:v>
                </c:pt>
              </c:strCache>
            </c:strRef>
          </c:tx>
          <c:spPr>
            <a:solidFill>
              <a:srgbClr val="C1D119"/>
            </a:solidFill>
            <a:ln>
              <a:solidFill>
                <a:srgbClr val="FFFFFF"/>
              </a:solidFill>
            </a:ln>
          </c:spPr>
          <c:invertIfNegative val="0"/>
          <c:cat>
            <c:numRef>
              <c:f>'Area VIIb-k trawlers 24-40m'!$D$91:$M$91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24-40m'!$D$95:$M$95</c:f>
              <c:numCache>
                <c:formatCode>0%</c:formatCode>
                <c:ptCount val="10"/>
                <c:pt idx="0">
                  <c:v>4.8690956622936987E-2</c:v>
                </c:pt>
                <c:pt idx="2">
                  <c:v>3.3098359216542111E-2</c:v>
                </c:pt>
                <c:pt idx="3">
                  <c:v>4.1481225663011344E-2</c:v>
                </c:pt>
                <c:pt idx="4">
                  <c:v>4.9009991365753493E-2</c:v>
                </c:pt>
                <c:pt idx="5">
                  <c:v>4.9711217944211454E-2</c:v>
                </c:pt>
                <c:pt idx="6">
                  <c:v>4.7200137152556075E-2</c:v>
                </c:pt>
                <c:pt idx="7">
                  <c:v>3.197149527225629E-2</c:v>
                </c:pt>
                <c:pt idx="8">
                  <c:v>3.9842838337258449E-2</c:v>
                </c:pt>
                <c:pt idx="9">
                  <c:v>3.7735491137039105E-2</c:v>
                </c:pt>
              </c:numCache>
            </c:numRef>
          </c:val>
          <c:extLst>
            <c:ext xmlns:c16="http://schemas.microsoft.com/office/drawing/2014/chart" uri="{C3380CC4-5D6E-409C-BE32-E72D297353CC}">
              <c16:uniqueId val="{00000003-BBD4-4465-B6FA-5E15888E985C}"/>
            </c:ext>
          </c:extLst>
        </c:ser>
        <c:ser>
          <c:idx val="4"/>
          <c:order val="4"/>
          <c:tx>
            <c:strRef>
              <c:f>'Area VIIb-k trawlers 24-40m'!$C$96</c:f>
              <c:strCache>
                <c:ptCount val="1"/>
                <c:pt idx="0">
                  <c:v>Witch</c:v>
                </c:pt>
              </c:strCache>
            </c:strRef>
          </c:tx>
          <c:spPr>
            <a:solidFill>
              <a:srgbClr val="E84A38"/>
            </a:solidFill>
            <a:ln>
              <a:solidFill>
                <a:srgbClr val="FFFFFF"/>
              </a:solidFill>
            </a:ln>
          </c:spPr>
          <c:invertIfNegative val="0"/>
          <c:cat>
            <c:numRef>
              <c:f>'Area VIIb-k trawlers 24-40m'!$D$91:$M$91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24-40m'!$D$96:$M$96</c:f>
              <c:numCache>
                <c:formatCode>0%</c:formatCode>
                <c:ptCount val="10"/>
                <c:pt idx="5">
                  <c:v>3.3873146624952548E-2</c:v>
                </c:pt>
                <c:pt idx="6">
                  <c:v>2.6442779028529543E-2</c:v>
                </c:pt>
                <c:pt idx="7">
                  <c:v>3.1937299966021626E-2</c:v>
                </c:pt>
                <c:pt idx="8">
                  <c:v>2.8541443455460822E-2</c:v>
                </c:pt>
              </c:numCache>
            </c:numRef>
          </c:val>
          <c:extLst>
            <c:ext xmlns:c16="http://schemas.microsoft.com/office/drawing/2014/chart" uri="{C3380CC4-5D6E-409C-BE32-E72D297353CC}">
              <c16:uniqueId val="{00000004-BBD4-4465-B6FA-5E15888E985C}"/>
            </c:ext>
          </c:extLst>
        </c:ser>
        <c:ser>
          <c:idx val="5"/>
          <c:order val="5"/>
          <c:tx>
            <c:strRef>
              <c:f>'Area VIIb-k trawlers 24-40m'!$C$97</c:f>
              <c:strCache>
                <c:ptCount val="1"/>
                <c:pt idx="0">
                  <c:v>Haddock</c:v>
                </c:pt>
              </c:strCache>
            </c:strRef>
          </c:tx>
          <c:spPr>
            <a:solidFill>
              <a:srgbClr val="0F9AA9"/>
            </a:solidFill>
            <a:ln>
              <a:solidFill>
                <a:srgbClr val="FFFFFF"/>
              </a:solidFill>
            </a:ln>
          </c:spPr>
          <c:invertIfNegative val="0"/>
          <c:cat>
            <c:numRef>
              <c:f>'Area VIIb-k trawlers 24-40m'!$D$91:$M$91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24-40m'!$D$97:$M$97</c:f>
              <c:numCache>
                <c:formatCode>0%</c:formatCode>
                <c:ptCount val="10"/>
                <c:pt idx="2">
                  <c:v>5.6317600795370425E-2</c:v>
                </c:pt>
                <c:pt idx="3">
                  <c:v>2.2554224177519389E-2</c:v>
                </c:pt>
                <c:pt idx="9">
                  <c:v>3.1939635681986357E-2</c:v>
                </c:pt>
              </c:numCache>
            </c:numRef>
          </c:val>
          <c:extLst>
            <c:ext xmlns:c16="http://schemas.microsoft.com/office/drawing/2014/chart" uri="{C3380CC4-5D6E-409C-BE32-E72D297353CC}">
              <c16:uniqueId val="{00000005-BBD4-4465-B6FA-5E15888E985C}"/>
            </c:ext>
          </c:extLst>
        </c:ser>
        <c:ser>
          <c:idx val="6"/>
          <c:order val="6"/>
          <c:tx>
            <c:strRef>
              <c:f>'Area VIIb-k trawlers 24-40m'!$C$98</c:f>
              <c:strCache>
                <c:ptCount val="1"/>
                <c:pt idx="0">
                  <c:v>Squid</c:v>
                </c:pt>
              </c:strCache>
            </c:strRef>
          </c:tx>
          <c:spPr>
            <a:solidFill>
              <a:srgbClr val="FED825"/>
            </a:solidFill>
            <a:ln>
              <a:solidFill>
                <a:srgbClr val="FFFFFF"/>
              </a:solidFill>
            </a:ln>
          </c:spPr>
          <c:invertIfNegative val="0"/>
          <c:cat>
            <c:numRef>
              <c:f>'Area VIIb-k trawlers 24-40m'!$D$91:$M$91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24-40m'!$D$98:$M$98</c:f>
              <c:numCache>
                <c:formatCode>0%</c:formatCode>
                <c:ptCount val="10"/>
                <c:pt idx="1">
                  <c:v>5.0350147607056209E-2</c:v>
                </c:pt>
                <c:pt idx="2">
                  <c:v>3.8958014861504915E-2</c:v>
                </c:pt>
                <c:pt idx="3">
                  <c:v>4.0309536607420322E-2</c:v>
                </c:pt>
                <c:pt idx="4">
                  <c:v>3.6188919291715992E-2</c:v>
                </c:pt>
              </c:numCache>
            </c:numRef>
          </c:val>
          <c:extLst>
            <c:ext xmlns:c16="http://schemas.microsoft.com/office/drawing/2014/chart" uri="{C3380CC4-5D6E-409C-BE32-E72D297353CC}">
              <c16:uniqueId val="{00000006-BBD4-4465-B6FA-5E15888E985C}"/>
            </c:ext>
          </c:extLst>
        </c:ser>
        <c:ser>
          <c:idx val="7"/>
          <c:order val="7"/>
          <c:tx>
            <c:strRef>
              <c:f>'Area VIIb-k trawlers 24-40m'!$C$99</c:f>
              <c:strCache>
                <c:ptCount val="1"/>
                <c:pt idx="0">
                  <c:v>Plaice</c:v>
                </c:pt>
              </c:strCache>
            </c:strRef>
          </c:tx>
          <c:spPr>
            <a:solidFill>
              <a:srgbClr val="707271"/>
            </a:solidFill>
            <a:ln>
              <a:solidFill>
                <a:srgbClr val="FFFFFF"/>
              </a:solidFill>
            </a:ln>
          </c:spPr>
          <c:invertIfNegative val="0"/>
          <c:cat>
            <c:numRef>
              <c:f>'Area VIIb-k trawlers 24-40m'!$D$91:$M$91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24-40m'!$D$99:$M$99</c:f>
              <c:numCache>
                <c:formatCode>0%</c:formatCode>
                <c:ptCount val="10"/>
                <c:pt idx="0">
                  <c:v>7.9055245310672886E-2</c:v>
                </c:pt>
                <c:pt idx="1">
                  <c:v>6.8576632937303705E-2</c:v>
                </c:pt>
                <c:pt idx="4">
                  <c:v>3.0294966055495028E-2</c:v>
                </c:pt>
              </c:numCache>
            </c:numRef>
          </c:val>
          <c:extLst>
            <c:ext xmlns:c16="http://schemas.microsoft.com/office/drawing/2014/chart" uri="{C3380CC4-5D6E-409C-BE32-E72D297353CC}">
              <c16:uniqueId val="{00000007-BBD4-4465-B6FA-5E15888E985C}"/>
            </c:ext>
          </c:extLst>
        </c:ser>
        <c:ser>
          <c:idx val="8"/>
          <c:order val="8"/>
          <c:tx>
            <c:strRef>
              <c:f>'Area VIIb-k trawlers 24-40m'!$C$100</c:f>
              <c:strCache>
                <c:ptCount val="1"/>
                <c:pt idx="0">
                  <c:v>Others</c:v>
                </c:pt>
              </c:strCache>
            </c:strRef>
          </c:tx>
          <c:spPr>
            <a:solidFill>
              <a:srgbClr val="55585A"/>
            </a:solidFill>
            <a:ln>
              <a:solidFill>
                <a:srgbClr val="FFFFFF"/>
              </a:solidFill>
            </a:ln>
          </c:spPr>
          <c:invertIfNegative val="0"/>
          <c:cat>
            <c:numRef>
              <c:f>'Area VIIb-k trawlers 24-40m'!$D$91:$M$91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24-40m'!$D$100:$M$100</c:f>
              <c:numCache>
                <c:formatCode>0%</c:formatCode>
                <c:ptCount val="10"/>
                <c:pt idx="0">
                  <c:v>0.25851294981435552</c:v>
                </c:pt>
                <c:pt idx="1">
                  <c:v>0.29627581479752518</c:v>
                </c:pt>
                <c:pt idx="2">
                  <c:v>0.14450489901256838</c:v>
                </c:pt>
                <c:pt idx="3">
                  <c:v>0.16318139036093285</c:v>
                </c:pt>
                <c:pt idx="4">
                  <c:v>0.19051474669199658</c:v>
                </c:pt>
                <c:pt idx="5">
                  <c:v>8.2671746661110365E-2</c:v>
                </c:pt>
                <c:pt idx="6">
                  <c:v>9.9968363912789474E-2</c:v>
                </c:pt>
                <c:pt idx="7">
                  <c:v>0.14699327922368549</c:v>
                </c:pt>
                <c:pt idx="8">
                  <c:v>0.1411385302969653</c:v>
                </c:pt>
                <c:pt idx="9">
                  <c:v>0.15315468232252863</c:v>
                </c:pt>
              </c:numCache>
            </c:numRef>
          </c:val>
          <c:extLst>
            <c:ext xmlns:c16="http://schemas.microsoft.com/office/drawing/2014/chart" uri="{C3380CC4-5D6E-409C-BE32-E72D297353CC}">
              <c16:uniqueId val="{00000008-BBD4-4465-B6FA-5E15888E985C}"/>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'Area VIIb-k trawlers 24-40m'!$B$162</c:f>
              <c:strCache>
                <c:ptCount val="1"/>
                <c:pt idx="0">
                  <c:v>Anglerfish</c:v>
                </c:pt>
              </c:strCache>
            </c:strRef>
          </c:tx>
          <c:spPr>
            <a:solidFill>
              <a:srgbClr val="2273B9"/>
            </a:solidFill>
            <a:ln>
              <a:solidFill>
                <a:srgbClr val="FFFFFF"/>
              </a:solidFill>
            </a:ln>
          </c:spPr>
          <c:invertIfNegative val="0"/>
          <c:cat>
            <c:strRef>
              <c:f>'Area VIIb-k trawlers 24-40m'!$C$161:$E$161</c:f>
              <c:strCache>
                <c:ptCount val="3"/>
                <c:pt idx="0">
                  <c:v>Most
profitable
quartile</c:v>
                </c:pt>
                <c:pt idx="1">
                  <c:v>Middle 
two quartiles</c:v>
                </c:pt>
                <c:pt idx="2">
                  <c:v>Least
profitable
quartile</c:v>
                </c:pt>
              </c:strCache>
            </c:strRef>
          </c:cat>
          <c:val>
            <c:numRef>
              <c:f>'Area VIIb-k trawlers 24-40m'!$C$162:$E$162</c:f>
              <c:numCache>
                <c:formatCode>0%</c:formatCode>
                <c:ptCount val="3"/>
                <c:pt idx="0">
                  <c:v>0</c:v>
                </c:pt>
                <c:pt idx="1">
                  <c:v>0.44109247512529159</c:v>
                </c:pt>
                <c:pt idx="2">
                  <c:v>0</c:v>
                </c:pt>
              </c:numCache>
            </c:numRef>
          </c:val>
          <c:extLst>
            <c:ext xmlns:c16="http://schemas.microsoft.com/office/drawing/2014/chart" uri="{C3380CC4-5D6E-409C-BE32-E72D297353CC}">
              <c16:uniqueId val="{00000000-41F6-4C6D-ADE7-E76E184D9255}"/>
            </c:ext>
          </c:extLst>
        </c:ser>
        <c:ser>
          <c:idx val="1"/>
          <c:order val="1"/>
          <c:tx>
            <c:strRef>
              <c:f>'Area VIIb-k trawlers 24-40m'!$B$163</c:f>
              <c:strCache>
                <c:ptCount val="1"/>
                <c:pt idx="0">
                  <c:v>Megrim</c:v>
                </c:pt>
              </c:strCache>
            </c:strRef>
          </c:tx>
          <c:spPr>
            <a:solidFill>
              <a:srgbClr val="E87308"/>
            </a:solidFill>
            <a:ln>
              <a:solidFill>
                <a:srgbClr val="FFFFFF"/>
              </a:solidFill>
            </a:ln>
          </c:spPr>
          <c:invertIfNegative val="0"/>
          <c:cat>
            <c:strRef>
              <c:f>'Area VIIb-k trawlers 24-40m'!$C$161:$E$161</c:f>
              <c:strCache>
                <c:ptCount val="3"/>
                <c:pt idx="0">
                  <c:v>Most
profitable
quartile</c:v>
                </c:pt>
                <c:pt idx="1">
                  <c:v>Middle 
two quartiles</c:v>
                </c:pt>
                <c:pt idx="2">
                  <c:v>Least
profitable
quartile</c:v>
                </c:pt>
              </c:strCache>
            </c:strRef>
          </c:cat>
          <c:val>
            <c:numRef>
              <c:f>'Area VIIb-k trawlers 24-40m'!$C$163:$E$163</c:f>
              <c:numCache>
                <c:formatCode>0%</c:formatCode>
                <c:ptCount val="3"/>
                <c:pt idx="0">
                  <c:v>0</c:v>
                </c:pt>
                <c:pt idx="1">
                  <c:v>0.34483738991491908</c:v>
                </c:pt>
                <c:pt idx="2">
                  <c:v>0</c:v>
                </c:pt>
              </c:numCache>
            </c:numRef>
          </c:val>
          <c:extLst>
            <c:ext xmlns:c16="http://schemas.microsoft.com/office/drawing/2014/chart" uri="{C3380CC4-5D6E-409C-BE32-E72D297353CC}">
              <c16:uniqueId val="{00000001-41F6-4C6D-ADE7-E76E184D9255}"/>
            </c:ext>
          </c:extLst>
        </c:ser>
        <c:ser>
          <c:idx val="2"/>
          <c:order val="2"/>
          <c:tx>
            <c:strRef>
              <c:f>'Area VIIb-k trawlers 24-40m'!$B$164</c:f>
              <c:strCache>
                <c:ptCount val="1"/>
                <c:pt idx="0">
                  <c:v>Witch</c:v>
                </c:pt>
              </c:strCache>
            </c:strRef>
          </c:tx>
          <c:spPr>
            <a:solidFill>
              <a:srgbClr val="E84A38"/>
            </a:solidFill>
            <a:ln>
              <a:solidFill>
                <a:srgbClr val="FFFFFF"/>
              </a:solidFill>
            </a:ln>
          </c:spPr>
          <c:invertIfNegative val="0"/>
          <c:cat>
            <c:strRef>
              <c:f>'Area VIIb-k trawlers 24-40m'!$C$161:$E$161</c:f>
              <c:strCache>
                <c:ptCount val="3"/>
                <c:pt idx="0">
                  <c:v>Most
profitable
quartile</c:v>
                </c:pt>
                <c:pt idx="1">
                  <c:v>Middle 
two quartiles</c:v>
                </c:pt>
                <c:pt idx="2">
                  <c:v>Least
profitable
quartile</c:v>
                </c:pt>
              </c:strCache>
            </c:strRef>
          </c:cat>
          <c:val>
            <c:numRef>
              <c:f>'Area VIIb-k trawlers 24-40m'!$C$164:$E$164</c:f>
              <c:numCache>
                <c:formatCode>0%</c:formatCode>
                <c:ptCount val="3"/>
                <c:pt idx="0">
                  <c:v>0</c:v>
                </c:pt>
                <c:pt idx="1">
                  <c:v>6.8253956184224071E-2</c:v>
                </c:pt>
                <c:pt idx="2">
                  <c:v>0</c:v>
                </c:pt>
              </c:numCache>
            </c:numRef>
          </c:val>
          <c:extLst>
            <c:ext xmlns:c16="http://schemas.microsoft.com/office/drawing/2014/chart" uri="{C3380CC4-5D6E-409C-BE32-E72D297353CC}">
              <c16:uniqueId val="{00000002-41F6-4C6D-ADE7-E76E184D9255}"/>
            </c:ext>
          </c:extLst>
        </c:ser>
        <c:ser>
          <c:idx val="3"/>
          <c:order val="3"/>
          <c:tx>
            <c:strRef>
              <c:f>'Area VIIb-k trawlers 24-40m'!$B$165</c:f>
              <c:strCache>
                <c:ptCount val="1"/>
                <c:pt idx="0">
                  <c:v>Hake</c:v>
                </c:pt>
              </c:strCache>
            </c:strRef>
          </c:tx>
          <c:spPr>
            <a:solidFill>
              <a:srgbClr val="C1D119"/>
            </a:solidFill>
            <a:ln>
              <a:solidFill>
                <a:srgbClr val="FFFFFF"/>
              </a:solidFill>
            </a:ln>
          </c:spPr>
          <c:invertIfNegative val="0"/>
          <c:cat>
            <c:strRef>
              <c:f>'Area VIIb-k trawlers 24-40m'!$C$161:$E$161</c:f>
              <c:strCache>
                <c:ptCount val="3"/>
                <c:pt idx="0">
                  <c:v>Most
profitable
quartile</c:v>
                </c:pt>
                <c:pt idx="1">
                  <c:v>Middle 
two quartiles</c:v>
                </c:pt>
                <c:pt idx="2">
                  <c:v>Least
profitable
quartile</c:v>
                </c:pt>
              </c:strCache>
            </c:strRef>
          </c:cat>
          <c:val>
            <c:numRef>
              <c:f>'Area VIIb-k trawlers 24-40m'!$C$165:$E$165</c:f>
              <c:numCache>
                <c:formatCode>0%</c:formatCode>
                <c:ptCount val="3"/>
                <c:pt idx="0">
                  <c:v>0</c:v>
                </c:pt>
                <c:pt idx="1">
                  <c:v>5.0251065415058561E-2</c:v>
                </c:pt>
                <c:pt idx="2">
                  <c:v>0</c:v>
                </c:pt>
              </c:numCache>
            </c:numRef>
          </c:val>
          <c:extLst>
            <c:ext xmlns:c16="http://schemas.microsoft.com/office/drawing/2014/chart" uri="{C3380CC4-5D6E-409C-BE32-E72D297353CC}">
              <c16:uniqueId val="{00000003-41F6-4C6D-ADE7-E76E184D9255}"/>
            </c:ext>
          </c:extLst>
        </c:ser>
        <c:ser>
          <c:idx val="4"/>
          <c:order val="4"/>
          <c:tx>
            <c:strRef>
              <c:f>'Area VIIb-k trawlers 24-40m'!$B$166</c:f>
              <c:strCache>
                <c:ptCount val="1"/>
                <c:pt idx="0">
                  <c:v>European Flying Squid</c:v>
                </c:pt>
              </c:strCache>
            </c:strRef>
          </c:tx>
          <c:spPr>
            <a:solidFill>
              <a:srgbClr val="FED825"/>
            </a:solidFill>
            <a:ln>
              <a:solidFill>
                <a:srgbClr val="FFFFFF"/>
              </a:solidFill>
            </a:ln>
          </c:spPr>
          <c:invertIfNegative val="0"/>
          <c:cat>
            <c:strRef>
              <c:f>'Area VIIb-k trawlers 24-40m'!$C$161:$E$161</c:f>
              <c:strCache>
                <c:ptCount val="3"/>
                <c:pt idx="0">
                  <c:v>Most
profitable
quartile</c:v>
                </c:pt>
                <c:pt idx="1">
                  <c:v>Middle 
two quartiles</c:v>
                </c:pt>
                <c:pt idx="2">
                  <c:v>Least
profitable
quartile</c:v>
                </c:pt>
              </c:strCache>
            </c:strRef>
          </c:cat>
          <c:val>
            <c:numRef>
              <c:f>'Area VIIb-k trawlers 24-40m'!$C$166:$E$166</c:f>
              <c:numCache>
                <c:formatCode>0%</c:formatCode>
                <c:ptCount val="3"/>
                <c:pt idx="0">
                  <c:v>0</c:v>
                </c:pt>
                <c:pt idx="1">
                  <c:v>0</c:v>
                </c:pt>
                <c:pt idx="2">
                  <c:v>0</c:v>
                </c:pt>
              </c:numCache>
            </c:numRef>
          </c:val>
          <c:extLst>
            <c:ext xmlns:c16="http://schemas.microsoft.com/office/drawing/2014/chart" uri="{C3380CC4-5D6E-409C-BE32-E72D297353CC}">
              <c16:uniqueId val="{00000004-41F6-4C6D-ADE7-E76E184D9255}"/>
            </c:ext>
          </c:extLst>
        </c:ser>
        <c:ser>
          <c:idx val="5"/>
          <c:order val="5"/>
          <c:tx>
            <c:strRef>
              <c:f>'Area VIIb-k trawlers 24-40m'!$B$167</c:f>
              <c:strCache>
                <c:ptCount val="1"/>
                <c:pt idx="0">
                  <c:v>Nephrops</c:v>
                </c:pt>
              </c:strCache>
            </c:strRef>
          </c:tx>
          <c:spPr>
            <a:solidFill>
              <a:srgbClr val="648C2E"/>
            </a:solidFill>
            <a:ln>
              <a:solidFill>
                <a:srgbClr val="FFFFFF"/>
              </a:solidFill>
            </a:ln>
          </c:spPr>
          <c:invertIfNegative val="0"/>
          <c:cat>
            <c:strRef>
              <c:f>'Area VIIb-k trawlers 24-40m'!$C$161:$E$161</c:f>
              <c:strCache>
                <c:ptCount val="3"/>
                <c:pt idx="0">
                  <c:v>Most
profitable
quartile</c:v>
                </c:pt>
                <c:pt idx="1">
                  <c:v>Middle 
two quartiles</c:v>
                </c:pt>
                <c:pt idx="2">
                  <c:v>Least
profitable
quartile</c:v>
                </c:pt>
              </c:strCache>
            </c:strRef>
          </c:cat>
          <c:val>
            <c:numRef>
              <c:f>'Area VIIb-k trawlers 24-40m'!$C$167:$E$167</c:f>
              <c:numCache>
                <c:formatCode>0%</c:formatCode>
                <c:ptCount val="3"/>
                <c:pt idx="0">
                  <c:v>0</c:v>
                </c:pt>
                <c:pt idx="1">
                  <c:v>0</c:v>
                </c:pt>
                <c:pt idx="2">
                  <c:v>0</c:v>
                </c:pt>
              </c:numCache>
            </c:numRef>
          </c:val>
          <c:extLst>
            <c:ext xmlns:c16="http://schemas.microsoft.com/office/drawing/2014/chart" uri="{C3380CC4-5D6E-409C-BE32-E72D297353CC}">
              <c16:uniqueId val="{00000005-41F6-4C6D-ADE7-E76E184D9255}"/>
            </c:ext>
          </c:extLst>
        </c:ser>
        <c:ser>
          <c:idx val="6"/>
          <c:order val="6"/>
          <c:tx>
            <c:strRef>
              <c:f>'Area VIIb-k trawlers 24-40m'!$B$168</c:f>
              <c:strCache>
                <c:ptCount val="1"/>
                <c:pt idx="0">
                  <c:v>Haddock</c:v>
                </c:pt>
              </c:strCache>
            </c:strRef>
          </c:tx>
          <c:spPr>
            <a:solidFill>
              <a:srgbClr val="51AA81"/>
            </a:solidFill>
            <a:ln>
              <a:solidFill>
                <a:srgbClr val="FFFFFF"/>
              </a:solidFill>
            </a:ln>
          </c:spPr>
          <c:invertIfNegative val="0"/>
          <c:cat>
            <c:strRef>
              <c:f>'Area VIIb-k trawlers 24-40m'!$C$161:$E$161</c:f>
              <c:strCache>
                <c:ptCount val="3"/>
                <c:pt idx="0">
                  <c:v>Most
profitable
quartile</c:v>
                </c:pt>
                <c:pt idx="1">
                  <c:v>Middle 
two quartiles</c:v>
                </c:pt>
                <c:pt idx="2">
                  <c:v>Least
profitable
quartile</c:v>
                </c:pt>
              </c:strCache>
            </c:strRef>
          </c:cat>
          <c:val>
            <c:numRef>
              <c:f>'Area VIIb-k trawlers 24-40m'!$C$168:$E$168</c:f>
              <c:numCache>
                <c:formatCode>0%</c:formatCode>
                <c:ptCount val="3"/>
                <c:pt idx="0">
                  <c:v>0</c:v>
                </c:pt>
                <c:pt idx="1">
                  <c:v>0</c:v>
                </c:pt>
                <c:pt idx="2">
                  <c:v>0</c:v>
                </c:pt>
              </c:numCache>
            </c:numRef>
          </c:val>
          <c:extLst>
            <c:ext xmlns:c16="http://schemas.microsoft.com/office/drawing/2014/chart" uri="{C3380CC4-5D6E-409C-BE32-E72D297353CC}">
              <c16:uniqueId val="{00000006-41F6-4C6D-ADE7-E76E184D9255}"/>
            </c:ext>
          </c:extLst>
        </c:ser>
        <c:ser>
          <c:idx val="7"/>
          <c:order val="7"/>
          <c:tx>
            <c:strRef>
              <c:f>'Area VIIb-k trawlers 24-40m'!$B$169</c:f>
              <c:strCache>
                <c:ptCount val="1"/>
                <c:pt idx="0">
                  <c:v>Plaice</c:v>
                </c:pt>
              </c:strCache>
            </c:strRef>
          </c:tx>
          <c:spPr>
            <a:solidFill>
              <a:srgbClr val="169FDB"/>
            </a:solidFill>
            <a:ln>
              <a:solidFill>
                <a:srgbClr val="FFFFFF"/>
              </a:solidFill>
            </a:ln>
          </c:spPr>
          <c:invertIfNegative val="0"/>
          <c:cat>
            <c:strRef>
              <c:f>'Area VIIb-k trawlers 24-40m'!$C$161:$E$161</c:f>
              <c:strCache>
                <c:ptCount val="3"/>
                <c:pt idx="0">
                  <c:v>Most
profitable
quartile</c:v>
                </c:pt>
                <c:pt idx="1">
                  <c:v>Middle 
two quartiles</c:v>
                </c:pt>
                <c:pt idx="2">
                  <c:v>Least
profitable
quartile</c:v>
                </c:pt>
              </c:strCache>
            </c:strRef>
          </c:cat>
          <c:val>
            <c:numRef>
              <c:f>'Area VIIb-k trawlers 24-40m'!$C$169:$E$169</c:f>
              <c:numCache>
                <c:formatCode>0%</c:formatCode>
                <c:ptCount val="3"/>
                <c:pt idx="0">
                  <c:v>0</c:v>
                </c:pt>
                <c:pt idx="1">
                  <c:v>0</c:v>
                </c:pt>
                <c:pt idx="2">
                  <c:v>0</c:v>
                </c:pt>
              </c:numCache>
            </c:numRef>
          </c:val>
          <c:extLst>
            <c:ext xmlns:c16="http://schemas.microsoft.com/office/drawing/2014/chart" uri="{C3380CC4-5D6E-409C-BE32-E72D297353CC}">
              <c16:uniqueId val="{00000007-41F6-4C6D-ADE7-E76E184D9255}"/>
            </c:ext>
          </c:extLst>
        </c:ser>
        <c:ser>
          <c:idx val="8"/>
          <c:order val="8"/>
          <c:tx>
            <c:strRef>
              <c:f>'Area VIIb-k trawlers 24-40m'!$B$170</c:f>
              <c:strCache>
                <c:ptCount val="1"/>
                <c:pt idx="0">
                  <c:v>Others</c:v>
                </c:pt>
              </c:strCache>
            </c:strRef>
          </c:tx>
          <c:spPr>
            <a:solidFill>
              <a:srgbClr val="55585A"/>
            </a:solidFill>
            <a:ln>
              <a:solidFill>
                <a:srgbClr val="FFFFFF"/>
              </a:solidFill>
            </a:ln>
          </c:spPr>
          <c:invertIfNegative val="0"/>
          <c:cat>
            <c:strRef>
              <c:f>'Area VIIb-k trawlers 24-40m'!$C$161:$E$161</c:f>
              <c:strCache>
                <c:ptCount val="3"/>
                <c:pt idx="0">
                  <c:v>Most
profitable
quartile</c:v>
                </c:pt>
                <c:pt idx="1">
                  <c:v>Middle 
two quartiles</c:v>
                </c:pt>
                <c:pt idx="2">
                  <c:v>Least
profitable
quartile</c:v>
                </c:pt>
              </c:strCache>
            </c:strRef>
          </c:cat>
          <c:val>
            <c:numRef>
              <c:f>'Area VIIb-k trawlers 24-40m'!$C$170:$E$170</c:f>
              <c:numCache>
                <c:formatCode>0%</c:formatCode>
                <c:ptCount val="3"/>
                <c:pt idx="0">
                  <c:v>0</c:v>
                </c:pt>
                <c:pt idx="1">
                  <c:v>6.4824006846966764E-2</c:v>
                </c:pt>
                <c:pt idx="2">
                  <c:v>0</c:v>
                </c:pt>
              </c:numCache>
            </c:numRef>
          </c:val>
          <c:extLst>
            <c:ext xmlns:c16="http://schemas.microsoft.com/office/drawing/2014/chart" uri="{C3380CC4-5D6E-409C-BE32-E72D297353CC}">
              <c16:uniqueId val="{00000008-41F6-4C6D-ADE7-E76E184D9255}"/>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'Area VIIb-k trawlers 24-40m'!$H$162</c:f>
              <c:strCache>
                <c:ptCount val="1"/>
                <c:pt idx="0">
                  <c:v>Anglerfish</c:v>
                </c:pt>
              </c:strCache>
            </c:strRef>
          </c:tx>
          <c:spPr>
            <a:solidFill>
              <a:srgbClr val="2273B9"/>
            </a:solidFill>
            <a:ln>
              <a:solidFill>
                <a:srgbClr val="FFFFFF"/>
              </a:solidFill>
            </a:ln>
          </c:spPr>
          <c:invertIfNegative val="0"/>
          <c:cat>
            <c:strRef>
              <c:f>'Area VIIb-k trawlers 24-40m'!$I$161:$K$161</c:f>
              <c:strCache>
                <c:ptCount val="3"/>
                <c:pt idx="0">
                  <c:v>Most
profitable
quartile</c:v>
                </c:pt>
                <c:pt idx="1">
                  <c:v>Middle 
two quartiles</c:v>
                </c:pt>
                <c:pt idx="2">
                  <c:v>Least
profitable
quartile</c:v>
                </c:pt>
              </c:strCache>
            </c:strRef>
          </c:cat>
          <c:val>
            <c:numRef>
              <c:f>'Area VIIb-k trawlers 24-40m'!$I$162:$K$162</c:f>
              <c:numCache>
                <c:formatCode>0%</c:formatCode>
                <c:ptCount val="3"/>
                <c:pt idx="0">
                  <c:v>0</c:v>
                </c:pt>
                <c:pt idx="1">
                  <c:v>0.56301306554207264</c:v>
                </c:pt>
                <c:pt idx="2">
                  <c:v>0</c:v>
                </c:pt>
              </c:numCache>
            </c:numRef>
          </c:val>
          <c:extLst>
            <c:ext xmlns:c16="http://schemas.microsoft.com/office/drawing/2014/chart" uri="{C3380CC4-5D6E-409C-BE32-E72D297353CC}">
              <c16:uniqueId val="{00000000-77CD-4D0F-A5E2-215537F12673}"/>
            </c:ext>
          </c:extLst>
        </c:ser>
        <c:ser>
          <c:idx val="1"/>
          <c:order val="1"/>
          <c:tx>
            <c:strRef>
              <c:f>'Area VIIb-k trawlers 24-40m'!$H$163</c:f>
              <c:strCache>
                <c:ptCount val="1"/>
                <c:pt idx="0">
                  <c:v>Megrim</c:v>
                </c:pt>
              </c:strCache>
            </c:strRef>
          </c:tx>
          <c:spPr>
            <a:solidFill>
              <a:srgbClr val="E87308"/>
            </a:solidFill>
            <a:ln>
              <a:solidFill>
                <a:srgbClr val="FFFFFF"/>
              </a:solidFill>
            </a:ln>
          </c:spPr>
          <c:invertIfNegative val="0"/>
          <c:cat>
            <c:strRef>
              <c:f>'Area VIIb-k trawlers 24-40m'!$I$161:$K$161</c:f>
              <c:strCache>
                <c:ptCount val="3"/>
                <c:pt idx="0">
                  <c:v>Most
profitable
quartile</c:v>
                </c:pt>
                <c:pt idx="1">
                  <c:v>Middle 
two quartiles</c:v>
                </c:pt>
                <c:pt idx="2">
                  <c:v>Least
profitable
quartile</c:v>
                </c:pt>
              </c:strCache>
            </c:strRef>
          </c:cat>
          <c:val>
            <c:numRef>
              <c:f>'Area VIIb-k trawlers 24-40m'!$I$163:$K$163</c:f>
              <c:numCache>
                <c:formatCode>0%</c:formatCode>
                <c:ptCount val="3"/>
                <c:pt idx="0">
                  <c:v>0</c:v>
                </c:pt>
                <c:pt idx="1">
                  <c:v>0.30732993530478614</c:v>
                </c:pt>
                <c:pt idx="2">
                  <c:v>0</c:v>
                </c:pt>
              </c:numCache>
            </c:numRef>
          </c:val>
          <c:extLst>
            <c:ext xmlns:c16="http://schemas.microsoft.com/office/drawing/2014/chart" uri="{C3380CC4-5D6E-409C-BE32-E72D297353CC}">
              <c16:uniqueId val="{00000001-77CD-4D0F-A5E2-215537F12673}"/>
            </c:ext>
          </c:extLst>
        </c:ser>
        <c:ser>
          <c:idx val="2"/>
          <c:order val="2"/>
          <c:tx>
            <c:strRef>
              <c:f>'Area VIIb-k trawlers 24-40m'!$H$164</c:f>
              <c:strCache>
                <c:ptCount val="1"/>
                <c:pt idx="0">
                  <c:v>Witch</c:v>
                </c:pt>
              </c:strCache>
            </c:strRef>
          </c:tx>
          <c:spPr>
            <a:solidFill>
              <a:srgbClr val="E84A38"/>
            </a:solidFill>
            <a:ln>
              <a:solidFill>
                <a:srgbClr val="FFFFFF"/>
              </a:solidFill>
            </a:ln>
          </c:spPr>
          <c:invertIfNegative val="0"/>
          <c:cat>
            <c:strRef>
              <c:f>'Area VIIb-k trawlers 24-40m'!$I$161:$K$161</c:f>
              <c:strCache>
                <c:ptCount val="3"/>
                <c:pt idx="0">
                  <c:v>Most
profitable
quartile</c:v>
                </c:pt>
                <c:pt idx="1">
                  <c:v>Middle 
two quartiles</c:v>
                </c:pt>
                <c:pt idx="2">
                  <c:v>Least
profitable
quartile</c:v>
                </c:pt>
              </c:strCache>
            </c:strRef>
          </c:cat>
          <c:val>
            <c:numRef>
              <c:f>'Area VIIb-k trawlers 24-40m'!$I$164:$K$164</c:f>
              <c:numCache>
                <c:formatCode>0%</c:formatCode>
                <c:ptCount val="3"/>
                <c:pt idx="0">
                  <c:v>0</c:v>
                </c:pt>
                <c:pt idx="1">
                  <c:v>3.947986027631218E-2</c:v>
                </c:pt>
                <c:pt idx="2">
                  <c:v>0</c:v>
                </c:pt>
              </c:numCache>
            </c:numRef>
          </c:val>
          <c:extLst>
            <c:ext xmlns:c16="http://schemas.microsoft.com/office/drawing/2014/chart" uri="{C3380CC4-5D6E-409C-BE32-E72D297353CC}">
              <c16:uniqueId val="{00000002-77CD-4D0F-A5E2-215537F12673}"/>
            </c:ext>
          </c:extLst>
        </c:ser>
        <c:ser>
          <c:idx val="3"/>
          <c:order val="3"/>
          <c:tx>
            <c:strRef>
              <c:f>'Area VIIb-k trawlers 24-40m'!$H$165</c:f>
              <c:strCache>
                <c:ptCount val="1"/>
                <c:pt idx="0">
                  <c:v>Hake</c:v>
                </c:pt>
              </c:strCache>
            </c:strRef>
          </c:tx>
          <c:spPr>
            <a:solidFill>
              <a:srgbClr val="C1D119"/>
            </a:solidFill>
            <a:ln>
              <a:solidFill>
                <a:srgbClr val="FFFFFF"/>
              </a:solidFill>
            </a:ln>
          </c:spPr>
          <c:invertIfNegative val="0"/>
          <c:cat>
            <c:strRef>
              <c:f>'Area VIIb-k trawlers 24-40m'!$I$161:$K$161</c:f>
              <c:strCache>
                <c:ptCount val="3"/>
                <c:pt idx="0">
                  <c:v>Most
profitable
quartile</c:v>
                </c:pt>
                <c:pt idx="1">
                  <c:v>Middle 
two quartiles</c:v>
                </c:pt>
                <c:pt idx="2">
                  <c:v>Least
profitable
quartile</c:v>
                </c:pt>
              </c:strCache>
            </c:strRef>
          </c:cat>
          <c:val>
            <c:numRef>
              <c:f>'Area VIIb-k trawlers 24-40m'!$I$165:$K$165</c:f>
              <c:numCache>
                <c:formatCode>0%</c:formatCode>
                <c:ptCount val="3"/>
                <c:pt idx="0">
                  <c:v>0</c:v>
                </c:pt>
                <c:pt idx="1">
                  <c:v>3.093605866694888E-2</c:v>
                </c:pt>
                <c:pt idx="2">
                  <c:v>0</c:v>
                </c:pt>
              </c:numCache>
            </c:numRef>
          </c:val>
          <c:extLst>
            <c:ext xmlns:c16="http://schemas.microsoft.com/office/drawing/2014/chart" uri="{C3380CC4-5D6E-409C-BE32-E72D297353CC}">
              <c16:uniqueId val="{00000003-77CD-4D0F-A5E2-215537F12673}"/>
            </c:ext>
          </c:extLst>
        </c:ser>
        <c:ser>
          <c:idx val="4"/>
          <c:order val="4"/>
          <c:tx>
            <c:strRef>
              <c:f>'Area VIIb-k trawlers 24-40m'!$H$166</c:f>
              <c:strCache>
                <c:ptCount val="1"/>
                <c:pt idx="0">
                  <c:v>John Dory</c:v>
                </c:pt>
              </c:strCache>
            </c:strRef>
          </c:tx>
          <c:spPr>
            <a:solidFill>
              <a:srgbClr val="0F9AA9"/>
            </a:solidFill>
            <a:ln>
              <a:solidFill>
                <a:srgbClr val="FFFFFF"/>
              </a:solidFill>
            </a:ln>
          </c:spPr>
          <c:invertIfNegative val="0"/>
          <c:cat>
            <c:strRef>
              <c:f>'Area VIIb-k trawlers 24-40m'!$I$161:$K$161</c:f>
              <c:strCache>
                <c:ptCount val="3"/>
                <c:pt idx="0">
                  <c:v>Most
profitable
quartile</c:v>
                </c:pt>
                <c:pt idx="1">
                  <c:v>Middle 
two quartiles</c:v>
                </c:pt>
                <c:pt idx="2">
                  <c:v>Least
profitable
quartile</c:v>
                </c:pt>
              </c:strCache>
            </c:strRef>
          </c:cat>
          <c:val>
            <c:numRef>
              <c:f>'Area VIIb-k trawlers 24-40m'!$I$166:$K$166</c:f>
              <c:numCache>
                <c:formatCode>0%</c:formatCode>
                <c:ptCount val="3"/>
                <c:pt idx="0">
                  <c:v>0</c:v>
                </c:pt>
                <c:pt idx="1">
                  <c:v>1.8178765217451268E-2</c:v>
                </c:pt>
                <c:pt idx="2">
                  <c:v>0</c:v>
                </c:pt>
              </c:numCache>
            </c:numRef>
          </c:val>
          <c:extLst>
            <c:ext xmlns:c16="http://schemas.microsoft.com/office/drawing/2014/chart" uri="{C3380CC4-5D6E-409C-BE32-E72D297353CC}">
              <c16:uniqueId val="{00000004-77CD-4D0F-A5E2-215537F12673}"/>
            </c:ext>
          </c:extLst>
        </c:ser>
        <c:ser>
          <c:idx val="5"/>
          <c:order val="5"/>
          <c:tx>
            <c:strRef>
              <c:f>'Area VIIb-k trawlers 24-40m'!$H$167</c:f>
              <c:strCache>
                <c:ptCount val="1"/>
                <c:pt idx="0">
                  <c:v>Nephrops</c:v>
                </c:pt>
              </c:strCache>
            </c:strRef>
          </c:tx>
          <c:spPr>
            <a:solidFill>
              <a:srgbClr val="648C2E"/>
            </a:solidFill>
            <a:ln>
              <a:solidFill>
                <a:srgbClr val="FFFFFF"/>
              </a:solidFill>
            </a:ln>
          </c:spPr>
          <c:invertIfNegative val="0"/>
          <c:cat>
            <c:strRef>
              <c:f>'Area VIIb-k trawlers 24-40m'!$I$161:$K$161</c:f>
              <c:strCache>
                <c:ptCount val="3"/>
                <c:pt idx="0">
                  <c:v>Most
profitable
quartile</c:v>
                </c:pt>
                <c:pt idx="1">
                  <c:v>Middle 
two quartiles</c:v>
                </c:pt>
                <c:pt idx="2">
                  <c:v>Least
profitable
quartile</c:v>
                </c:pt>
              </c:strCache>
            </c:strRef>
          </c:cat>
          <c:val>
            <c:numRef>
              <c:f>'Area VIIb-k trawlers 24-40m'!$I$167:$K$167</c:f>
              <c:numCache>
                <c:formatCode>0%</c:formatCode>
                <c:ptCount val="3"/>
                <c:pt idx="0">
                  <c:v>0</c:v>
                </c:pt>
                <c:pt idx="1">
                  <c:v>0</c:v>
                </c:pt>
                <c:pt idx="2">
                  <c:v>0</c:v>
                </c:pt>
              </c:numCache>
            </c:numRef>
          </c:val>
          <c:extLst>
            <c:ext xmlns:c16="http://schemas.microsoft.com/office/drawing/2014/chart" uri="{C3380CC4-5D6E-409C-BE32-E72D297353CC}">
              <c16:uniqueId val="{00000005-77CD-4D0F-A5E2-215537F12673}"/>
            </c:ext>
          </c:extLst>
        </c:ser>
        <c:ser>
          <c:idx val="6"/>
          <c:order val="6"/>
          <c:tx>
            <c:strRef>
              <c:f>'Area VIIb-k trawlers 24-40m'!$H$168</c:f>
              <c:strCache>
                <c:ptCount val="1"/>
                <c:pt idx="0">
                  <c:v>Squid</c:v>
                </c:pt>
              </c:strCache>
            </c:strRef>
          </c:tx>
          <c:spPr>
            <a:solidFill>
              <a:srgbClr val="707271"/>
            </a:solidFill>
            <a:ln>
              <a:solidFill>
                <a:srgbClr val="FFFFFF"/>
              </a:solidFill>
            </a:ln>
          </c:spPr>
          <c:invertIfNegative val="0"/>
          <c:cat>
            <c:strRef>
              <c:f>'Area VIIb-k trawlers 24-40m'!$I$161:$K$161</c:f>
              <c:strCache>
                <c:ptCount val="3"/>
                <c:pt idx="0">
                  <c:v>Most
profitable
quartile</c:v>
                </c:pt>
                <c:pt idx="1">
                  <c:v>Middle 
two quartiles</c:v>
                </c:pt>
                <c:pt idx="2">
                  <c:v>Least
profitable
quartile</c:v>
                </c:pt>
              </c:strCache>
            </c:strRef>
          </c:cat>
          <c:val>
            <c:numRef>
              <c:f>'Area VIIb-k trawlers 24-40m'!$I$168:$K$168</c:f>
              <c:numCache>
                <c:formatCode>0%</c:formatCode>
                <c:ptCount val="3"/>
                <c:pt idx="0">
                  <c:v>0</c:v>
                </c:pt>
                <c:pt idx="1">
                  <c:v>0</c:v>
                </c:pt>
                <c:pt idx="2">
                  <c:v>0</c:v>
                </c:pt>
              </c:numCache>
            </c:numRef>
          </c:val>
          <c:extLst>
            <c:ext xmlns:c16="http://schemas.microsoft.com/office/drawing/2014/chart" uri="{C3380CC4-5D6E-409C-BE32-E72D297353CC}">
              <c16:uniqueId val="{00000006-77CD-4D0F-A5E2-215537F12673}"/>
            </c:ext>
          </c:extLst>
        </c:ser>
        <c:ser>
          <c:idx val="7"/>
          <c:order val="7"/>
          <c:tx>
            <c:strRef>
              <c:f>'Area VIIb-k trawlers 24-40m'!$H$169</c:f>
              <c:strCache>
                <c:ptCount val="1"/>
                <c:pt idx="0">
                  <c:v>Others</c:v>
                </c:pt>
              </c:strCache>
            </c:strRef>
          </c:tx>
          <c:spPr>
            <a:solidFill>
              <a:srgbClr val="55585A"/>
            </a:solidFill>
            <a:ln>
              <a:solidFill>
                <a:srgbClr val="FFFFFF"/>
              </a:solidFill>
            </a:ln>
          </c:spPr>
          <c:invertIfNegative val="0"/>
          <c:cat>
            <c:strRef>
              <c:f>'Area VIIb-k trawlers 24-40m'!$I$161:$K$161</c:f>
              <c:strCache>
                <c:ptCount val="3"/>
                <c:pt idx="0">
                  <c:v>Most
profitable
quartile</c:v>
                </c:pt>
                <c:pt idx="1">
                  <c:v>Middle 
two quartiles</c:v>
                </c:pt>
                <c:pt idx="2">
                  <c:v>Least
profitable
quartile</c:v>
                </c:pt>
              </c:strCache>
            </c:strRef>
          </c:cat>
          <c:val>
            <c:numRef>
              <c:f>'Area VIIb-k trawlers 24-40m'!$I$169:$K$169</c:f>
              <c:numCache>
                <c:formatCode>0%</c:formatCode>
                <c:ptCount val="3"/>
                <c:pt idx="0">
                  <c:v>0</c:v>
                </c:pt>
                <c:pt idx="1">
                  <c:v>4.1062314992428739E-2</c:v>
                </c:pt>
                <c:pt idx="2">
                  <c:v>0</c:v>
                </c:pt>
              </c:numCache>
            </c:numRef>
          </c:val>
          <c:extLst>
            <c:ext xmlns:c16="http://schemas.microsoft.com/office/drawing/2014/chart" uri="{C3380CC4-5D6E-409C-BE32-E72D297353CC}">
              <c16:uniqueId val="{00000007-77CD-4D0F-A5E2-215537F12673}"/>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'Area VIIb-k trawlers 24-40m'!$K$139</c:f>
              <c:strCache>
                <c:ptCount val="1"/>
                <c:pt idx="0">
                  <c:v>Total income</c:v>
                </c:pt>
              </c:strCache>
            </c:strRef>
          </c:tx>
          <c:spPr>
            <a:solidFill>
              <a:srgbClr val="087CBB"/>
            </a:solidFill>
            <a:ln>
              <a:solidFill>
                <a:schemeClr val="accent1"/>
              </a:solidFill>
            </a:ln>
          </c:spPr>
          <c:invertIfNegative val="0"/>
          <c:cat>
            <c:strRef>
              <c:f>'Area VIIb-k trawlers 24-40m'!$L$138:$N$138</c:f>
              <c:strCache>
                <c:ptCount val="3"/>
                <c:pt idx="0">
                  <c:v>Most
profitable
quartile</c:v>
                </c:pt>
                <c:pt idx="1">
                  <c:v>Middle
two quartiles</c:v>
                </c:pt>
                <c:pt idx="2">
                  <c:v>Least
profitable
quartile</c:v>
                </c:pt>
              </c:strCache>
            </c:strRef>
          </c:cat>
          <c:val>
            <c:numRef>
              <c:f>'Area VIIb-k trawlers 24-40m'!$L$139:$N$139</c:f>
              <c:numCache>
                <c:formatCode>#,##0</c:formatCode>
                <c:ptCount val="3"/>
                <c:pt idx="0">
                  <c:v>0</c:v>
                </c:pt>
                <c:pt idx="1">
                  <c:v>1773.1811250000001</c:v>
                </c:pt>
                <c:pt idx="2">
                  <c:v>0</c:v>
                </c:pt>
              </c:numCache>
            </c:numRef>
          </c:val>
          <c:extLst>
            <c:ext xmlns:c16="http://schemas.microsoft.com/office/drawing/2014/chart" uri="{C3380CC4-5D6E-409C-BE32-E72D297353CC}">
              <c16:uniqueId val="{00000000-4615-49CE-9895-E23891C0484F}"/>
            </c:ext>
          </c:extLst>
        </c:ser>
        <c:ser>
          <c:idx val="1"/>
          <c:order val="1"/>
          <c:tx>
            <c:strRef>
              <c:f>'Area VIIb-k trawlers 24-40m'!$K$140</c:f>
              <c:strCache>
                <c:ptCount val="1"/>
                <c:pt idx="0">
                  <c:v>Operating costs</c:v>
                </c:pt>
              </c:strCache>
            </c:strRef>
          </c:tx>
          <c:spPr>
            <a:solidFill>
              <a:srgbClr val="E87308"/>
            </a:solidFill>
          </c:spPr>
          <c:invertIfNegative val="0"/>
          <c:cat>
            <c:strRef>
              <c:f>'Area VIIb-k trawlers 24-40m'!$L$138:$N$138</c:f>
              <c:strCache>
                <c:ptCount val="3"/>
                <c:pt idx="0">
                  <c:v>Most
profitable
quartile</c:v>
                </c:pt>
                <c:pt idx="1">
                  <c:v>Middle
two quartiles</c:v>
                </c:pt>
                <c:pt idx="2">
                  <c:v>Least
profitable
quartile</c:v>
                </c:pt>
              </c:strCache>
            </c:strRef>
          </c:cat>
          <c:val>
            <c:numRef>
              <c:f>'Area VIIb-k trawlers 24-40m'!$L$140:$N$140</c:f>
              <c:numCache>
                <c:formatCode>#,##0</c:formatCode>
                <c:ptCount val="3"/>
                <c:pt idx="0">
                  <c:v>0</c:v>
                </c:pt>
                <c:pt idx="1">
                  <c:v>1670.1541875</c:v>
                </c:pt>
                <c:pt idx="2">
                  <c:v>0</c:v>
                </c:pt>
              </c:numCache>
            </c:numRef>
          </c:val>
          <c:extLst>
            <c:ext xmlns:c16="http://schemas.microsoft.com/office/drawing/2014/chart" uri="{C3380CC4-5D6E-409C-BE32-E72D297353CC}">
              <c16:uniqueId val="{00000001-4615-49CE-9895-E23891C0484F}"/>
            </c:ext>
          </c:extLst>
        </c:ser>
        <c:ser>
          <c:idx val="2"/>
          <c:order val="2"/>
          <c:tx>
            <c:strRef>
              <c:f>'Area VIIb-k trawlers 24-40m'!$K$141</c:f>
              <c:strCache>
                <c:ptCount val="1"/>
                <c:pt idx="0">
                  <c:v>Operating profit</c:v>
                </c:pt>
              </c:strCache>
            </c:strRef>
          </c:tx>
          <c:spPr>
            <a:solidFill>
              <a:srgbClr val="51AA81"/>
            </a:solidFill>
          </c:spPr>
          <c:invertIfNegative val="0"/>
          <c:cat>
            <c:strRef>
              <c:f>'Area VIIb-k trawlers 24-40m'!$L$138:$N$138</c:f>
              <c:strCache>
                <c:ptCount val="3"/>
                <c:pt idx="0">
                  <c:v>Most
profitable
quartile</c:v>
                </c:pt>
                <c:pt idx="1">
                  <c:v>Middle
two quartiles</c:v>
                </c:pt>
                <c:pt idx="2">
                  <c:v>Least
profitable
quartile</c:v>
                </c:pt>
              </c:strCache>
            </c:strRef>
          </c:cat>
          <c:val>
            <c:numRef>
              <c:f>'Area VIIb-k trawlers 24-40m'!$L$141:$N$141</c:f>
              <c:numCache>
                <c:formatCode>#,##0</c:formatCode>
                <c:ptCount val="3"/>
                <c:pt idx="0">
                  <c:v>0</c:v>
                </c:pt>
                <c:pt idx="1">
                  <c:v>103.0269375</c:v>
                </c:pt>
                <c:pt idx="2">
                  <c:v>0</c:v>
                </c:pt>
              </c:numCache>
            </c:numRef>
          </c:val>
          <c:extLst>
            <c:ext xmlns:c16="http://schemas.microsoft.com/office/drawing/2014/chart" uri="{C3380CC4-5D6E-409C-BE32-E72D297353CC}">
              <c16:uniqueId val="{00000002-4615-49CE-9895-E23891C0484F}"/>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'Area VIIb-k trawlers 24-40m'!$K$142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10-24m'!$A$48</c:f>
          <c:strCache>
            <c:ptCount val="1"/>
            <c:pt idx="0">
              <c:v>Landings per kW day at sea (kg)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9E4B-465C-B22C-E83248BA4317}"/>
              </c:ext>
            </c:extLst>
          </c:dPt>
          <c:dPt>
            <c:idx val="10"/>
            <c:bubble3D val="0"/>
            <c:spPr>
              <a:ln w="57150">
                <a:solidFill>
                  <a:srgbClr val="2273B9"/>
                </a:solidFill>
                <a:prstDash val="sysDot"/>
              </a:ln>
            </c:spPr>
            <c:extLst>
              <c:ext xmlns:c16="http://schemas.microsoft.com/office/drawing/2014/chart" uri="{C3380CC4-5D6E-409C-BE32-E72D297353CC}">
                <c16:uniqueId val="{00000003-9E4B-465C-B22C-E83248BA4317}"/>
              </c:ext>
            </c:extLst>
          </c:dPt>
          <c:cat>
            <c:numRef>
              <c:f>'Area VIIb-k trawlers 10-24m'!$D$2:$N$2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'Area VIIb-k trawlers 10-24m'!$D$21:$N$21</c:f>
              <c:numCache>
                <c:formatCode>#,##0.00</c:formatCode>
                <c:ptCount val="11"/>
                <c:pt idx="0">
                  <c:v>4.6412227002209132</c:v>
                </c:pt>
                <c:pt idx="1">
                  <c:v>4.5121917453542446</c:v>
                </c:pt>
                <c:pt idx="2">
                  <c:v>5.4069471207733537</c:v>
                </c:pt>
                <c:pt idx="3">
                  <c:v>4.8627880970355344</c:v>
                </c:pt>
                <c:pt idx="4">
                  <c:v>4.6352351020909133</c:v>
                </c:pt>
                <c:pt idx="5">
                  <c:v>4.1739023554721326</c:v>
                </c:pt>
                <c:pt idx="6">
                  <c:v>4.1467510436355912</c:v>
                </c:pt>
                <c:pt idx="7">
                  <c:v>4.2156214249006103</c:v>
                </c:pt>
                <c:pt idx="8">
                  <c:v>3.684117105096433</c:v>
                </c:pt>
                <c:pt idx="9">
                  <c:v>3.55266337535235</c:v>
                </c:pt>
                <c:pt idx="10">
                  <c:v>3.5149837753251321</c:v>
                </c:pt>
              </c:numCache>
            </c:numRef>
          </c:val>
          <c:smooth val="0"/>
          <c:extLst>
            <c:ext xmlns:c16="http://schemas.microsoft.com/office/drawing/2014/chart" uri="{C3380CC4-5D6E-409C-BE32-E72D297353CC}">
              <c16:uniqueId val="{00000004-9E4B-465C-B22C-E83248BA4317}"/>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trawl'!$A$50</c:f>
          <c:strCache>
            <c:ptCount val="1"/>
            <c:pt idx="0">
              <c:v>Average price per tonne landed (£)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E8DF-4982-992C-197955ED014E}"/>
              </c:ext>
            </c:extLst>
          </c:dPt>
          <c:dPt>
            <c:idx val="10"/>
            <c:bubble3D val="0"/>
            <c:spPr>
              <a:ln w="57150">
                <a:solidFill>
                  <a:schemeClr val="accent4"/>
                </a:solidFill>
                <a:prstDash val="sysDot"/>
              </a:ln>
            </c:spPr>
            <c:extLst>
              <c:ext xmlns:c16="http://schemas.microsoft.com/office/drawing/2014/chart" uri="{C3380CC4-5D6E-409C-BE32-E72D297353CC}">
                <c16:uniqueId val="{00000003-E8DF-4982-992C-197955ED014E}"/>
              </c:ext>
            </c:extLst>
          </c:dPt>
          <c:cat>
            <c:numRef>
              <c:f>'Area VIIa demersal trawl'!$D$2:$M$2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'Area VIIa demersal trawl'!$D$20:$N$20</c:f>
              <c:numCache>
                <c:formatCode>#,##0</c:formatCode>
                <c:ptCount val="11"/>
                <c:pt idx="0">
                  <c:v>1496</c:v>
                </c:pt>
                <c:pt idx="1">
                  <c:v>1809</c:v>
                </c:pt>
                <c:pt idx="2">
                  <c:v>928</c:v>
                </c:pt>
                <c:pt idx="3">
                  <c:v>1406</c:v>
                </c:pt>
                <c:pt idx="4">
                  <c:v>1968</c:v>
                </c:pt>
                <c:pt idx="5">
                  <c:v>1771</c:v>
                </c:pt>
                <c:pt idx="6">
                  <c:v>2259</c:v>
                </c:pt>
                <c:pt idx="7">
                  <c:v>2325</c:v>
                </c:pt>
                <c:pt idx="8">
                  <c:v>1872</c:v>
                </c:pt>
                <c:pt idx="9">
                  <c:v>2076</c:v>
                </c:pt>
                <c:pt idx="10">
                  <c:v>1608</c:v>
                </c:pt>
              </c:numCache>
            </c:numRef>
          </c:val>
          <c:smooth val="0"/>
          <c:extLst>
            <c:ext xmlns:c16="http://schemas.microsoft.com/office/drawing/2014/chart" uri="{C3380CC4-5D6E-409C-BE32-E72D297353CC}">
              <c16:uniqueId val="{00000004-E8DF-4982-992C-197955ED014E}"/>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10-24m'!$A$49</c:f>
          <c:strCache>
            <c:ptCount val="1"/>
            <c:pt idx="0">
              <c:v>Fishing income per kW day at sea (£)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46F4-43E5-BBC5-EC2DC4D4454E}"/>
              </c:ext>
            </c:extLst>
          </c:dPt>
          <c:dPt>
            <c:idx val="10"/>
            <c:bubble3D val="0"/>
            <c:spPr>
              <a:ln w="57150">
                <a:solidFill>
                  <a:srgbClr val="648C2E"/>
                </a:solidFill>
                <a:prstDash val="sysDot"/>
              </a:ln>
            </c:spPr>
            <c:extLst>
              <c:ext xmlns:c16="http://schemas.microsoft.com/office/drawing/2014/chart" uri="{C3380CC4-5D6E-409C-BE32-E72D297353CC}">
                <c16:uniqueId val="{00000003-46F4-43E5-BBC5-EC2DC4D4454E}"/>
              </c:ext>
            </c:extLst>
          </c:dPt>
          <c:cat>
            <c:numRef>
              <c:f>'Area VIIb-k trawlers 10-24m'!$D$2:$N$2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'Area VIIb-k trawlers 10-24m'!$D$22:$N$22</c:f>
              <c:numCache>
                <c:formatCode>#,##0.00</c:formatCode>
                <c:ptCount val="11"/>
                <c:pt idx="0">
                  <c:v>7.1443665045196596</c:v>
                </c:pt>
                <c:pt idx="1">
                  <c:v>8.1617745711966307</c:v>
                </c:pt>
                <c:pt idx="2">
                  <c:v>8.5264971398536904</c:v>
                </c:pt>
                <c:pt idx="3">
                  <c:v>8.2804269720944408</c:v>
                </c:pt>
                <c:pt idx="4">
                  <c:v>8.3586082176234306</c:v>
                </c:pt>
                <c:pt idx="5">
                  <c:v>7.8177066635208803</c:v>
                </c:pt>
                <c:pt idx="6">
                  <c:v>7.6845587852211699</c:v>
                </c:pt>
                <c:pt idx="7">
                  <c:v>9.1348757362641404</c:v>
                </c:pt>
                <c:pt idx="8">
                  <c:v>6.8170038371034796</c:v>
                </c:pt>
                <c:pt idx="9">
                  <c:v>7.3784474972885796</c:v>
                </c:pt>
                <c:pt idx="10">
                  <c:v>6.0877952889052231</c:v>
                </c:pt>
              </c:numCache>
            </c:numRef>
          </c:val>
          <c:smooth val="0"/>
          <c:extLst>
            <c:ext xmlns:c16="http://schemas.microsoft.com/office/drawing/2014/chart" uri="{C3380CC4-5D6E-409C-BE32-E72D297353CC}">
              <c16:uniqueId val="{00000004-46F4-43E5-BBC5-EC2DC4D4454E}"/>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10-24m'!$B$62</c:f>
          <c:strCache>
            <c:ptCount val="1"/>
            <c:pt idx="0">
              <c:v>Total cost per kW day at sea (£)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6803-4E4E-96A9-25023AABE6A8}"/>
              </c:ext>
            </c:extLst>
          </c:dPt>
          <c:dPt>
            <c:idx val="10"/>
            <c:bubble3D val="0"/>
            <c:spPr>
              <a:ln w="57150">
                <a:solidFill>
                  <a:srgbClr val="087CBB"/>
                </a:solidFill>
                <a:prstDash val="sysDot"/>
              </a:ln>
            </c:spPr>
            <c:extLst>
              <c:ext xmlns:c16="http://schemas.microsoft.com/office/drawing/2014/chart" uri="{C3380CC4-5D6E-409C-BE32-E72D297353CC}">
                <c16:uniqueId val="{00000003-6803-4E4E-96A9-25023AABE6A8}"/>
              </c:ext>
            </c:extLst>
          </c:dPt>
          <c:cat>
            <c:numRef>
              <c:f>'Area VIIb-k trawlers 10-24m'!$D$2:$N$2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'Area VIIb-k trawlers 10-24m'!$D$23:$N$23</c:f>
              <c:numCache>
                <c:formatCode>#,##0.00</c:formatCode>
                <c:ptCount val="11"/>
                <c:pt idx="0">
                  <c:v>5.7359390961768799</c:v>
                </c:pt>
                <c:pt idx="1">
                  <c:v>7.84711175041478</c:v>
                </c:pt>
                <c:pt idx="2">
                  <c:v>7.2485336193442302</c:v>
                </c:pt>
                <c:pt idx="3">
                  <c:v>6.98460504126031</c:v>
                </c:pt>
                <c:pt idx="4">
                  <c:v>6.45392068320887</c:v>
                </c:pt>
                <c:pt idx="5">
                  <c:v>6.2972132980573798</c:v>
                </c:pt>
                <c:pt idx="6">
                  <c:v>5.26969248894543</c:v>
                </c:pt>
                <c:pt idx="7">
                  <c:v>6.5459821469540396</c:v>
                </c:pt>
                <c:pt idx="8">
                  <c:v>5.6357764368123799</c:v>
                </c:pt>
                <c:pt idx="9">
                  <c:v>6.0661103531312</c:v>
                </c:pt>
                <c:pt idx="10">
                  <c:v>5.8847976247995977</c:v>
                </c:pt>
              </c:numCache>
            </c:numRef>
          </c:val>
          <c:smooth val="0"/>
          <c:extLst>
            <c:ext xmlns:c16="http://schemas.microsoft.com/office/drawing/2014/chart" uri="{C3380CC4-5D6E-409C-BE32-E72D297353CC}">
              <c16:uniqueId val="{00000004-6803-4E4E-96A9-25023AABE6A8}"/>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10-24m'!$K$48</c:f>
          <c:strCache>
            <c:ptCount val="1"/>
            <c:pt idx="0">
              <c:v>Operating profit per kW day at sea (£)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AE0C-4DA0-9C77-AB082C020FAC}"/>
              </c:ext>
            </c:extLst>
          </c:dPt>
          <c:dPt>
            <c:idx val="10"/>
            <c:bubble3D val="0"/>
            <c:spPr>
              <a:ln w="57150">
                <a:solidFill>
                  <a:schemeClr val="accent3"/>
                </a:solidFill>
                <a:prstDash val="sysDot"/>
              </a:ln>
            </c:spPr>
            <c:extLst>
              <c:ext xmlns:c16="http://schemas.microsoft.com/office/drawing/2014/chart" uri="{C3380CC4-5D6E-409C-BE32-E72D297353CC}">
                <c16:uniqueId val="{00000003-AE0C-4DA0-9C77-AB082C020FAC}"/>
              </c:ext>
            </c:extLst>
          </c:dPt>
          <c:cat>
            <c:numRef>
              <c:f>'Area VIIb-k trawlers 10-24m'!$D$2:$N$2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'Area VIIb-k trawlers 10-24m'!$D$24:$N$24</c:f>
              <c:numCache>
                <c:formatCode>#,##0.00</c:formatCode>
                <c:ptCount val="11"/>
                <c:pt idx="0">
                  <c:v>1.6720861803698499</c:v>
                </c:pt>
                <c:pt idx="1">
                  <c:v>0.31466282078185098</c:v>
                </c:pt>
                <c:pt idx="2">
                  <c:v>1.6702405711917001</c:v>
                </c:pt>
                <c:pt idx="3">
                  <c:v>1.39415744335464</c:v>
                </c:pt>
                <c:pt idx="4">
                  <c:v>1.98442028290459</c:v>
                </c:pt>
                <c:pt idx="5">
                  <c:v>1.7421322797480701</c:v>
                </c:pt>
                <c:pt idx="6">
                  <c:v>2.5380120198948699</c:v>
                </c:pt>
                <c:pt idx="7">
                  <c:v>2.79217581882178</c:v>
                </c:pt>
                <c:pt idx="8">
                  <c:v>1.6763407722139501</c:v>
                </c:pt>
                <c:pt idx="9">
                  <c:v>1.7569997589142601</c:v>
                </c:pt>
                <c:pt idx="10">
                  <c:v>0.96654297013727231</c:v>
                </c:pt>
              </c:numCache>
            </c:numRef>
          </c:val>
          <c:smooth val="0"/>
          <c:extLst>
            <c:ext xmlns:c16="http://schemas.microsoft.com/office/drawing/2014/chart" uri="{C3380CC4-5D6E-409C-BE32-E72D297353CC}">
              <c16:uniqueId val="{00000004-AE0C-4DA0-9C77-AB082C020FAC}"/>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10-24m'!$A$50</c:f>
          <c:strCache>
            <c:ptCount val="1"/>
            <c:pt idx="0">
              <c:v>Average price per tonne landed (£)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68AE-4283-92E8-3C9A029DB43F}"/>
              </c:ext>
            </c:extLst>
          </c:dPt>
          <c:dPt>
            <c:idx val="10"/>
            <c:bubble3D val="0"/>
            <c:spPr>
              <a:ln w="57150">
                <a:solidFill>
                  <a:schemeClr val="accent4"/>
                </a:solidFill>
                <a:prstDash val="sysDot"/>
              </a:ln>
            </c:spPr>
            <c:extLst>
              <c:ext xmlns:c16="http://schemas.microsoft.com/office/drawing/2014/chart" uri="{C3380CC4-5D6E-409C-BE32-E72D297353CC}">
                <c16:uniqueId val="{00000003-68AE-4283-92E8-3C9A029DB43F}"/>
              </c:ext>
            </c:extLst>
          </c:dPt>
          <c:cat>
            <c:numRef>
              <c:f>'Area VIIb-k trawlers 10-24m'!$D$2:$M$2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'Area VIIb-k trawlers 10-24m'!$D$20:$N$20</c:f>
              <c:numCache>
                <c:formatCode>#,##0</c:formatCode>
                <c:ptCount val="11"/>
                <c:pt idx="0">
                  <c:v>1539</c:v>
                </c:pt>
                <c:pt idx="1">
                  <c:v>1809</c:v>
                </c:pt>
                <c:pt idx="2">
                  <c:v>1577</c:v>
                </c:pt>
                <c:pt idx="3">
                  <c:v>1703</c:v>
                </c:pt>
                <c:pt idx="4">
                  <c:v>1803</c:v>
                </c:pt>
                <c:pt idx="5">
                  <c:v>1873</c:v>
                </c:pt>
                <c:pt idx="6">
                  <c:v>1853</c:v>
                </c:pt>
                <c:pt idx="7">
                  <c:v>2167</c:v>
                </c:pt>
                <c:pt idx="8">
                  <c:v>1850</c:v>
                </c:pt>
                <c:pt idx="9">
                  <c:v>2077</c:v>
                </c:pt>
                <c:pt idx="10">
                  <c:v>1732</c:v>
                </c:pt>
              </c:numCache>
            </c:numRef>
          </c:val>
          <c:smooth val="0"/>
          <c:extLst>
            <c:ext xmlns:c16="http://schemas.microsoft.com/office/drawing/2014/chart" uri="{C3380CC4-5D6E-409C-BE32-E72D297353CC}">
              <c16:uniqueId val="{00000004-68AE-4283-92E8-3C9A029DB43F}"/>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10-24m'!$K$62</c:f>
          <c:strCache>
            <c:ptCount val="1"/>
            <c:pt idx="0">
              <c:v>Average annual operating profit per vessel (£'000)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7D46-4F9B-A376-5B80979A951E}"/>
              </c:ext>
            </c:extLst>
          </c:dPt>
          <c:dPt>
            <c:idx val="10"/>
            <c:bubble3D val="0"/>
            <c:spPr>
              <a:ln w="57150">
                <a:solidFill>
                  <a:schemeClr val="accent5"/>
                </a:solidFill>
                <a:prstDash val="sysDot"/>
              </a:ln>
            </c:spPr>
            <c:extLst>
              <c:ext xmlns:c16="http://schemas.microsoft.com/office/drawing/2014/chart" uri="{C3380CC4-5D6E-409C-BE32-E72D297353CC}">
                <c16:uniqueId val="{00000003-7D46-4F9B-A376-5B80979A951E}"/>
              </c:ext>
            </c:extLst>
          </c:dPt>
          <c:cat>
            <c:numRef>
              <c:f>'Area VIIb-k trawlers 10-24m'!$D$2:$M$2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'Area VIIb-k trawlers 10-24m'!$D$37:$N$37</c:f>
              <c:numCache>
                <c:formatCode>#,##0.0</c:formatCode>
                <c:ptCount val="11"/>
                <c:pt idx="0">
                  <c:v>60.4</c:v>
                </c:pt>
                <c:pt idx="1">
                  <c:v>10.8</c:v>
                </c:pt>
                <c:pt idx="2">
                  <c:v>58.3</c:v>
                </c:pt>
                <c:pt idx="3">
                  <c:v>47</c:v>
                </c:pt>
                <c:pt idx="4">
                  <c:v>65.5</c:v>
                </c:pt>
                <c:pt idx="5">
                  <c:v>53.6</c:v>
                </c:pt>
                <c:pt idx="6">
                  <c:v>93.1</c:v>
                </c:pt>
                <c:pt idx="7">
                  <c:v>91.5</c:v>
                </c:pt>
                <c:pt idx="8">
                  <c:v>52.4</c:v>
                </c:pt>
                <c:pt idx="9">
                  <c:v>53.7</c:v>
                </c:pt>
                <c:pt idx="10">
                  <c:v>23.900000000000002</c:v>
                </c:pt>
              </c:numCache>
            </c:numRef>
          </c:val>
          <c:smooth val="0"/>
          <c:extLst>
            <c:ext xmlns:c16="http://schemas.microsoft.com/office/drawing/2014/chart" uri="{C3380CC4-5D6E-409C-BE32-E72D297353CC}">
              <c16:uniqueId val="{00000004-7D46-4F9B-A376-5B80979A951E}"/>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10-24m'!$A$76</c:f>
          <c:strCache>
            <c:ptCount val="1"/>
            <c:pt idx="0">
              <c:v>Top 5 landed species by volume in 2019
Area VIIBCDEFGHK trawlers 10-24m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0F9AA9"/>
              </a:solidFill>
              <a:ln>
                <a:solidFill>
                  <a:srgbClr val="FFFFFF"/>
                </a:solidFill>
              </a:ln>
            </c:spPr>
            <c:extLst>
              <c:ext xmlns:c16="http://schemas.microsoft.com/office/drawing/2014/chart" uri="{C3380CC4-5D6E-409C-BE32-E72D297353CC}">
                <c16:uniqueId val="{00000001-6ACA-456B-A604-884B2FD25A2B}"/>
              </c:ext>
            </c:extLst>
          </c:dPt>
          <c:dPt>
            <c:idx val="1"/>
            <c:bubble3D val="0"/>
            <c:spPr>
              <a:solidFill>
                <a:srgbClr val="2273B9"/>
              </a:solidFill>
              <a:ln>
                <a:solidFill>
                  <a:srgbClr val="FFFFFF"/>
                </a:solidFill>
              </a:ln>
            </c:spPr>
            <c:extLst>
              <c:ext xmlns:c16="http://schemas.microsoft.com/office/drawing/2014/chart" uri="{C3380CC4-5D6E-409C-BE32-E72D297353CC}">
                <c16:uniqueId val="{00000003-6ACA-456B-A604-884B2FD25A2B}"/>
              </c:ext>
            </c:extLst>
          </c:dPt>
          <c:dPt>
            <c:idx val="2"/>
            <c:bubble3D val="0"/>
            <c:spPr>
              <a:solidFill>
                <a:srgbClr val="FED825"/>
              </a:solidFill>
              <a:ln>
                <a:solidFill>
                  <a:srgbClr val="FFFFFF"/>
                </a:solidFill>
              </a:ln>
            </c:spPr>
            <c:extLst>
              <c:ext xmlns:c16="http://schemas.microsoft.com/office/drawing/2014/chart" uri="{C3380CC4-5D6E-409C-BE32-E72D297353CC}">
                <c16:uniqueId val="{00000005-6ACA-456B-A604-884B2FD25A2B}"/>
              </c:ext>
            </c:extLst>
          </c:dPt>
          <c:dPt>
            <c:idx val="3"/>
            <c:bubble3D val="0"/>
            <c:spPr>
              <a:solidFill>
                <a:srgbClr val="648C2E"/>
              </a:solidFill>
              <a:ln>
                <a:solidFill>
                  <a:srgbClr val="FFFFFF"/>
                </a:solidFill>
              </a:ln>
            </c:spPr>
            <c:extLst>
              <c:ext xmlns:c16="http://schemas.microsoft.com/office/drawing/2014/chart" uri="{C3380CC4-5D6E-409C-BE32-E72D297353CC}">
                <c16:uniqueId val="{00000007-6ACA-456B-A604-884B2FD25A2B}"/>
              </c:ext>
            </c:extLst>
          </c:dPt>
          <c:dPt>
            <c:idx val="4"/>
            <c:bubble3D val="0"/>
            <c:spPr>
              <a:solidFill>
                <a:srgbClr val="E87308"/>
              </a:solidFill>
              <a:ln>
                <a:solidFill>
                  <a:srgbClr val="FFFFFF"/>
                </a:solidFill>
              </a:ln>
            </c:spPr>
            <c:extLst>
              <c:ext xmlns:c16="http://schemas.microsoft.com/office/drawing/2014/chart" uri="{C3380CC4-5D6E-409C-BE32-E72D297353CC}">
                <c16:uniqueId val="{00000009-6ACA-456B-A604-884B2FD25A2B}"/>
              </c:ext>
            </c:extLst>
          </c:dPt>
          <c:dPt>
            <c:idx val="5"/>
            <c:bubble3D val="0"/>
            <c:spPr>
              <a:solidFill>
                <a:srgbClr val="55585A"/>
              </a:solidFill>
              <a:ln>
                <a:solidFill>
                  <a:srgbClr val="FFFFFF"/>
                </a:solidFill>
              </a:ln>
            </c:spPr>
            <c:extLst>
              <c:ext xmlns:c16="http://schemas.microsoft.com/office/drawing/2014/chart" uri="{C3380CC4-5D6E-409C-BE32-E72D297353CC}">
                <c16:uniqueId val="{0000000B-6ACA-456B-A604-884B2FD25A2B}"/>
              </c:ext>
            </c:extLst>
          </c:dPt>
          <c:cat>
            <c:strRef>
              <c:f>'Area VIIb-k trawlers 10-24m'!$B$77:$B$82</c:f>
              <c:strCache>
                <c:ptCount val="6"/>
                <c:pt idx="0">
                  <c:v>Sprats - 15.6%</c:v>
                </c:pt>
                <c:pt idx="1">
                  <c:v>Cuttlefish - 12.8%</c:v>
                </c:pt>
                <c:pt idx="2">
                  <c:v>Les. Spot. Dog - 8.0%</c:v>
                </c:pt>
                <c:pt idx="3">
                  <c:v>Anglerfish - 6.1%</c:v>
                </c:pt>
                <c:pt idx="4">
                  <c:v>Lemon Sole - 6.1%</c:v>
                </c:pt>
                <c:pt idx="5">
                  <c:v>Others - 51.4%</c:v>
                </c:pt>
              </c:strCache>
            </c:strRef>
          </c:cat>
          <c:val>
            <c:numRef>
              <c:f>'Area VIIb-k trawlers 10-24m'!$C$77:$C$82</c:f>
              <c:numCache>
                <c:formatCode>0.0%</c:formatCode>
                <c:ptCount val="6"/>
                <c:pt idx="0">
                  <c:v>0.15605553803695976</c:v>
                </c:pt>
                <c:pt idx="1">
                  <c:v>0.12848103354868443</c:v>
                </c:pt>
                <c:pt idx="2">
                  <c:v>7.9607600773918652E-2</c:v>
                </c:pt>
                <c:pt idx="3">
                  <c:v>6.1108475228409558E-2</c:v>
                </c:pt>
                <c:pt idx="4">
                  <c:v>6.0910647017239854E-2</c:v>
                </c:pt>
                <c:pt idx="5">
                  <c:v>0.51383670539478776</c:v>
                </c:pt>
              </c:numCache>
            </c:numRef>
          </c:val>
          <c:extLst>
            <c:ext xmlns:c16="http://schemas.microsoft.com/office/drawing/2014/chart" uri="{C3380CC4-5D6E-409C-BE32-E72D297353CC}">
              <c16:uniqueId val="{0000000C-6ACA-456B-A604-884B2FD25A2B}"/>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10-24m'!$F$76</c:f>
          <c:strCache>
            <c:ptCount val="1"/>
            <c:pt idx="0">
              <c:v>Top 5 landed species by value in 2019
Area VIIBCDEFGHK trawlers 10-24m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51DE-41AF-986E-4324EDCA7202}"/>
              </c:ext>
            </c:extLst>
          </c:dPt>
          <c:dPt>
            <c:idx val="1"/>
            <c:bubble3D val="0"/>
            <c:spPr>
              <a:solidFill>
                <a:srgbClr val="E87308"/>
              </a:solidFill>
              <a:ln>
                <a:solidFill>
                  <a:srgbClr val="FFFFFF"/>
                </a:solidFill>
              </a:ln>
            </c:spPr>
            <c:extLst>
              <c:ext xmlns:c16="http://schemas.microsoft.com/office/drawing/2014/chart" uri="{C3380CC4-5D6E-409C-BE32-E72D297353CC}">
                <c16:uniqueId val="{00000003-51DE-41AF-986E-4324EDCA7202}"/>
              </c:ext>
            </c:extLst>
          </c:dPt>
          <c:dPt>
            <c:idx val="2"/>
            <c:bubble3D val="0"/>
            <c:spPr>
              <a:solidFill>
                <a:srgbClr val="648C2E"/>
              </a:solidFill>
              <a:ln>
                <a:solidFill>
                  <a:srgbClr val="FFFFFF"/>
                </a:solidFill>
              </a:ln>
            </c:spPr>
            <c:extLst>
              <c:ext xmlns:c16="http://schemas.microsoft.com/office/drawing/2014/chart" uri="{C3380CC4-5D6E-409C-BE32-E72D297353CC}">
                <c16:uniqueId val="{00000005-51DE-41AF-986E-4324EDCA7202}"/>
              </c:ext>
            </c:extLst>
          </c:dPt>
          <c:dPt>
            <c:idx val="3"/>
            <c:bubble3D val="0"/>
            <c:spPr>
              <a:solidFill>
                <a:srgbClr val="C1D119"/>
              </a:solidFill>
              <a:ln>
                <a:solidFill>
                  <a:srgbClr val="FFFFFF"/>
                </a:solidFill>
              </a:ln>
            </c:spPr>
            <c:extLst>
              <c:ext xmlns:c16="http://schemas.microsoft.com/office/drawing/2014/chart" uri="{C3380CC4-5D6E-409C-BE32-E72D297353CC}">
                <c16:uniqueId val="{00000007-51DE-41AF-986E-4324EDCA7202}"/>
              </c:ext>
            </c:extLst>
          </c:dPt>
          <c:dPt>
            <c:idx val="4"/>
            <c:bubble3D val="0"/>
            <c:spPr>
              <a:solidFill>
                <a:srgbClr val="E84A38"/>
              </a:solidFill>
              <a:ln>
                <a:solidFill>
                  <a:srgbClr val="FFFFFF"/>
                </a:solidFill>
              </a:ln>
            </c:spPr>
            <c:extLst>
              <c:ext xmlns:c16="http://schemas.microsoft.com/office/drawing/2014/chart" uri="{C3380CC4-5D6E-409C-BE32-E72D297353CC}">
                <c16:uniqueId val="{00000009-51DE-41AF-986E-4324EDCA7202}"/>
              </c:ext>
            </c:extLst>
          </c:dPt>
          <c:dPt>
            <c:idx val="5"/>
            <c:bubble3D val="0"/>
            <c:spPr>
              <a:solidFill>
                <a:srgbClr val="55585A"/>
              </a:solidFill>
              <a:ln>
                <a:solidFill>
                  <a:srgbClr val="FFFFFF"/>
                </a:solidFill>
              </a:ln>
            </c:spPr>
            <c:extLst>
              <c:ext xmlns:c16="http://schemas.microsoft.com/office/drawing/2014/chart" uri="{C3380CC4-5D6E-409C-BE32-E72D297353CC}">
                <c16:uniqueId val="{0000000B-51DE-41AF-986E-4324EDCA7202}"/>
              </c:ext>
            </c:extLst>
          </c:dPt>
          <c:cat>
            <c:strRef>
              <c:f>'Area VIIb-k trawlers 10-24m'!$G$77:$G$82</c:f>
              <c:strCache>
                <c:ptCount val="6"/>
                <c:pt idx="0">
                  <c:v>Cuttlefish - 16.7%</c:v>
                </c:pt>
                <c:pt idx="1">
                  <c:v>Lemon Sole - 14.2%</c:v>
                </c:pt>
                <c:pt idx="2">
                  <c:v>Anglerfish - 9.0%</c:v>
                </c:pt>
                <c:pt idx="3">
                  <c:v>Squid - 6.6%</c:v>
                </c:pt>
                <c:pt idx="4">
                  <c:v>Sole - 6.2%</c:v>
                </c:pt>
                <c:pt idx="5">
                  <c:v>Others - 47.3%</c:v>
                </c:pt>
              </c:strCache>
            </c:strRef>
          </c:cat>
          <c:val>
            <c:numRef>
              <c:f>'Area VIIb-k trawlers 10-24m'!$H$77:$H$82</c:f>
              <c:numCache>
                <c:formatCode>0.0%</c:formatCode>
                <c:ptCount val="6"/>
                <c:pt idx="0">
                  <c:v>0.16717241257894661</c:v>
                </c:pt>
                <c:pt idx="1">
                  <c:v>0.14153598192003555</c:v>
                </c:pt>
                <c:pt idx="2">
                  <c:v>8.9600901476973818E-2</c:v>
                </c:pt>
                <c:pt idx="3">
                  <c:v>6.6054591781510283E-2</c:v>
                </c:pt>
                <c:pt idx="4">
                  <c:v>6.2305657335291795E-2</c:v>
                </c:pt>
                <c:pt idx="5">
                  <c:v>0.47333045490724202</c:v>
                </c:pt>
              </c:numCache>
            </c:numRef>
          </c:val>
          <c:extLst>
            <c:ext xmlns:c16="http://schemas.microsoft.com/office/drawing/2014/chart" uri="{C3380CC4-5D6E-409C-BE32-E72D297353CC}">
              <c16:uniqueId val="{0000000C-51DE-41AF-986E-4324EDCA720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10-24m'!$K$77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VIIb-k trawlers 10-24m'!$C$92</c:f>
              <c:strCache>
                <c:ptCount val="1"/>
                <c:pt idx="0">
                  <c:v>Cuttlefish</c:v>
                </c:pt>
              </c:strCache>
            </c:strRef>
          </c:tx>
          <c:spPr>
            <a:solidFill>
              <a:srgbClr val="2273B9"/>
            </a:solidFill>
            <a:ln>
              <a:solidFill>
                <a:srgbClr val="FFFFFF"/>
              </a:solidFill>
            </a:ln>
          </c:spPr>
          <c:invertIfNegative val="0"/>
          <c:cat>
            <c:numRef>
              <c:f>'Area VIIb-k trawlers 10-24m'!$D$91:$M$91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10-24m'!$D$92:$M$92</c:f>
              <c:numCache>
                <c:formatCode>0%</c:formatCode>
                <c:ptCount val="10"/>
                <c:pt idx="1">
                  <c:v>9.2216356336864522E-2</c:v>
                </c:pt>
                <c:pt idx="3">
                  <c:v>0.10992614092339756</c:v>
                </c:pt>
                <c:pt idx="4">
                  <c:v>0.17191068170665549</c:v>
                </c:pt>
                <c:pt idx="5">
                  <c:v>0.19576597155737094</c:v>
                </c:pt>
                <c:pt idx="6">
                  <c:v>0.36222379671670868</c:v>
                </c:pt>
                <c:pt idx="7">
                  <c:v>0.13703770294416773</c:v>
                </c:pt>
                <c:pt idx="8">
                  <c:v>0.16717241257894661</c:v>
                </c:pt>
                <c:pt idx="9">
                  <c:v>0.1615887505733094</c:v>
                </c:pt>
              </c:numCache>
            </c:numRef>
          </c:val>
          <c:extLst>
            <c:ext xmlns:c16="http://schemas.microsoft.com/office/drawing/2014/chart" uri="{C3380CC4-5D6E-409C-BE32-E72D297353CC}">
              <c16:uniqueId val="{00000000-A4C4-4EF2-8B06-7EDB7EA285BC}"/>
            </c:ext>
          </c:extLst>
        </c:ser>
        <c:ser>
          <c:idx val="1"/>
          <c:order val="1"/>
          <c:tx>
            <c:strRef>
              <c:f>'Area VIIb-k trawlers 10-24m'!$C$93</c:f>
              <c:strCache>
                <c:ptCount val="1"/>
                <c:pt idx="0">
                  <c:v>Lemon Sole</c:v>
                </c:pt>
              </c:strCache>
            </c:strRef>
          </c:tx>
          <c:spPr>
            <a:solidFill>
              <a:srgbClr val="E87308"/>
            </a:solidFill>
            <a:ln>
              <a:solidFill>
                <a:srgbClr val="FFFFFF"/>
              </a:solidFill>
            </a:ln>
          </c:spPr>
          <c:invertIfNegative val="0"/>
          <c:cat>
            <c:numRef>
              <c:f>'Area VIIb-k trawlers 10-24m'!$D$91:$M$91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10-24m'!$D$93:$M$93</c:f>
              <c:numCache>
                <c:formatCode>0%</c:formatCode>
                <c:ptCount val="10"/>
                <c:pt idx="0">
                  <c:v>0.13370783388731475</c:v>
                </c:pt>
                <c:pt idx="1">
                  <c:v>0.18806921559390777</c:v>
                </c:pt>
                <c:pt idx="2">
                  <c:v>0.22855291347375897</c:v>
                </c:pt>
                <c:pt idx="3">
                  <c:v>0.21216468615648737</c:v>
                </c:pt>
                <c:pt idx="4">
                  <c:v>0.18660859042451419</c:v>
                </c:pt>
                <c:pt idx="5">
                  <c:v>0.18170108805625268</c:v>
                </c:pt>
                <c:pt idx="6">
                  <c:v>0.11834132038418257</c:v>
                </c:pt>
                <c:pt idx="7">
                  <c:v>0.12391427717230459</c:v>
                </c:pt>
                <c:pt idx="8">
                  <c:v>0.14153598192003555</c:v>
                </c:pt>
                <c:pt idx="9">
                  <c:v>0.12116454202343184</c:v>
                </c:pt>
              </c:numCache>
            </c:numRef>
          </c:val>
          <c:extLst>
            <c:ext xmlns:c16="http://schemas.microsoft.com/office/drawing/2014/chart" uri="{C3380CC4-5D6E-409C-BE32-E72D297353CC}">
              <c16:uniqueId val="{00000001-A4C4-4EF2-8B06-7EDB7EA285BC}"/>
            </c:ext>
          </c:extLst>
        </c:ser>
        <c:ser>
          <c:idx val="2"/>
          <c:order val="2"/>
          <c:tx>
            <c:strRef>
              <c:f>'Area VIIb-k trawlers 10-24m'!$C$94</c:f>
              <c:strCache>
                <c:ptCount val="1"/>
                <c:pt idx="0">
                  <c:v>Anglerfish</c:v>
                </c:pt>
              </c:strCache>
            </c:strRef>
          </c:tx>
          <c:spPr>
            <a:solidFill>
              <a:srgbClr val="648C2E"/>
            </a:solidFill>
            <a:ln>
              <a:solidFill>
                <a:srgbClr val="FFFFFF"/>
              </a:solidFill>
            </a:ln>
          </c:spPr>
          <c:invertIfNegative val="0"/>
          <c:cat>
            <c:numRef>
              <c:f>'Area VIIb-k trawlers 10-24m'!$D$91:$M$91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10-24m'!$D$94:$M$94</c:f>
              <c:numCache>
                <c:formatCode>0%</c:formatCode>
                <c:ptCount val="10"/>
                <c:pt idx="0">
                  <c:v>9.413237231880564E-2</c:v>
                </c:pt>
                <c:pt idx="1">
                  <c:v>8.4494685258565419E-2</c:v>
                </c:pt>
                <c:pt idx="2">
                  <c:v>6.9352484412298743E-2</c:v>
                </c:pt>
                <c:pt idx="3">
                  <c:v>7.3905013771125599E-2</c:v>
                </c:pt>
                <c:pt idx="4">
                  <c:v>7.9531859877568667E-2</c:v>
                </c:pt>
                <c:pt idx="5">
                  <c:v>8.6424500147920372E-2</c:v>
                </c:pt>
                <c:pt idx="6">
                  <c:v>5.6202794936955361E-2</c:v>
                </c:pt>
                <c:pt idx="7">
                  <c:v>7.3422283385218112E-2</c:v>
                </c:pt>
                <c:pt idx="8">
                  <c:v>8.9600901476973818E-2</c:v>
                </c:pt>
                <c:pt idx="9">
                  <c:v>0.10874552618389728</c:v>
                </c:pt>
              </c:numCache>
            </c:numRef>
          </c:val>
          <c:extLst>
            <c:ext xmlns:c16="http://schemas.microsoft.com/office/drawing/2014/chart" uri="{C3380CC4-5D6E-409C-BE32-E72D297353CC}">
              <c16:uniqueId val="{00000002-A4C4-4EF2-8B06-7EDB7EA285BC}"/>
            </c:ext>
          </c:extLst>
        </c:ser>
        <c:ser>
          <c:idx val="3"/>
          <c:order val="3"/>
          <c:tx>
            <c:strRef>
              <c:f>'Area VIIb-k trawlers 10-24m'!$C$95</c:f>
              <c:strCache>
                <c:ptCount val="1"/>
                <c:pt idx="0">
                  <c:v>Squid</c:v>
                </c:pt>
              </c:strCache>
            </c:strRef>
          </c:tx>
          <c:spPr>
            <a:solidFill>
              <a:srgbClr val="C1D119"/>
            </a:solidFill>
            <a:ln>
              <a:solidFill>
                <a:srgbClr val="FFFFFF"/>
              </a:solidFill>
            </a:ln>
          </c:spPr>
          <c:invertIfNegative val="0"/>
          <c:cat>
            <c:numRef>
              <c:f>'Area VIIb-k trawlers 10-24m'!$D$91:$M$91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10-24m'!$D$95:$M$95</c:f>
              <c:numCache>
                <c:formatCode>0%</c:formatCode>
                <c:ptCount val="10"/>
                <c:pt idx="0">
                  <c:v>0.11900821423836443</c:v>
                </c:pt>
                <c:pt idx="1">
                  <c:v>7.6933776012108476E-2</c:v>
                </c:pt>
                <c:pt idx="2">
                  <c:v>0.11313551216495404</c:v>
                </c:pt>
                <c:pt idx="3">
                  <c:v>0.11954291175096382</c:v>
                </c:pt>
                <c:pt idx="4">
                  <c:v>9.6884274781710258E-2</c:v>
                </c:pt>
                <c:pt idx="5">
                  <c:v>6.1294379921496139E-2</c:v>
                </c:pt>
                <c:pt idx="6">
                  <c:v>7.4141566626185429E-2</c:v>
                </c:pt>
                <c:pt idx="7">
                  <c:v>8.0152419468793826E-2</c:v>
                </c:pt>
                <c:pt idx="8">
                  <c:v>6.6054591781510283E-2</c:v>
                </c:pt>
              </c:numCache>
            </c:numRef>
          </c:val>
          <c:extLst>
            <c:ext xmlns:c16="http://schemas.microsoft.com/office/drawing/2014/chart" uri="{C3380CC4-5D6E-409C-BE32-E72D297353CC}">
              <c16:uniqueId val="{00000003-A4C4-4EF2-8B06-7EDB7EA285BC}"/>
            </c:ext>
          </c:extLst>
        </c:ser>
        <c:ser>
          <c:idx val="4"/>
          <c:order val="4"/>
          <c:tx>
            <c:strRef>
              <c:f>'Area VIIb-k trawlers 10-24m'!$C$96</c:f>
              <c:strCache>
                <c:ptCount val="1"/>
                <c:pt idx="0">
                  <c:v>Sole</c:v>
                </c:pt>
              </c:strCache>
            </c:strRef>
          </c:tx>
          <c:spPr>
            <a:solidFill>
              <a:srgbClr val="E84A38"/>
            </a:solidFill>
            <a:ln>
              <a:solidFill>
                <a:srgbClr val="FFFFFF"/>
              </a:solidFill>
            </a:ln>
          </c:spPr>
          <c:invertIfNegative val="0"/>
          <c:cat>
            <c:numRef>
              <c:f>'Area VIIb-k trawlers 10-24m'!$D$91:$M$91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10-24m'!$D$96:$M$96</c:f>
              <c:numCache>
                <c:formatCode>0%</c:formatCode>
                <c:ptCount val="10"/>
                <c:pt idx="8">
                  <c:v>6.2305657335291795E-2</c:v>
                </c:pt>
                <c:pt idx="9">
                  <c:v>7.4778684099462076E-2</c:v>
                </c:pt>
              </c:numCache>
            </c:numRef>
          </c:val>
          <c:extLst>
            <c:ext xmlns:c16="http://schemas.microsoft.com/office/drawing/2014/chart" uri="{C3380CC4-5D6E-409C-BE32-E72D297353CC}">
              <c16:uniqueId val="{00000004-A4C4-4EF2-8B06-7EDB7EA285BC}"/>
            </c:ext>
          </c:extLst>
        </c:ser>
        <c:ser>
          <c:idx val="5"/>
          <c:order val="5"/>
          <c:tx>
            <c:strRef>
              <c:f>'Area VIIb-k trawlers 10-24m'!$C$97</c:f>
              <c:strCache>
                <c:ptCount val="1"/>
                <c:pt idx="0">
                  <c:v>Blonde Ray</c:v>
                </c:pt>
              </c:strCache>
            </c:strRef>
          </c:tx>
          <c:spPr>
            <a:solidFill>
              <a:srgbClr val="0F9AA9"/>
            </a:solidFill>
            <a:ln>
              <a:solidFill>
                <a:srgbClr val="FFFFFF"/>
              </a:solidFill>
            </a:ln>
          </c:spPr>
          <c:invertIfNegative val="0"/>
          <c:cat>
            <c:numRef>
              <c:f>'Area VIIb-k trawlers 10-24m'!$D$91:$M$91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10-24m'!$D$97:$M$97</c:f>
              <c:numCache>
                <c:formatCode>0%</c:formatCode>
                <c:ptCount val="10"/>
                <c:pt idx="4">
                  <c:v>5.3811205469792844E-2</c:v>
                </c:pt>
                <c:pt idx="5">
                  <c:v>4.0321912100368895E-2</c:v>
                </c:pt>
                <c:pt idx="9">
                  <c:v>5.7432539760098551E-2</c:v>
                </c:pt>
              </c:numCache>
            </c:numRef>
          </c:val>
          <c:extLst>
            <c:ext xmlns:c16="http://schemas.microsoft.com/office/drawing/2014/chart" uri="{C3380CC4-5D6E-409C-BE32-E72D297353CC}">
              <c16:uniqueId val="{00000005-A4C4-4EF2-8B06-7EDB7EA285BC}"/>
            </c:ext>
          </c:extLst>
        </c:ser>
        <c:ser>
          <c:idx val="6"/>
          <c:order val="6"/>
          <c:tx>
            <c:strRef>
              <c:f>'Area VIIb-k trawlers 10-24m'!$C$98</c:f>
              <c:strCache>
                <c:ptCount val="1"/>
                <c:pt idx="0">
                  <c:v>John Dory</c:v>
                </c:pt>
              </c:strCache>
            </c:strRef>
          </c:tx>
          <c:spPr>
            <a:solidFill>
              <a:srgbClr val="FED825"/>
            </a:solidFill>
            <a:ln>
              <a:solidFill>
                <a:srgbClr val="FFFFFF"/>
              </a:solidFill>
            </a:ln>
          </c:spPr>
          <c:invertIfNegative val="0"/>
          <c:cat>
            <c:numRef>
              <c:f>'Area VIIb-k trawlers 10-24m'!$D$91:$M$91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10-24m'!$D$98:$M$98</c:f>
              <c:numCache>
                <c:formatCode>0%</c:formatCode>
                <c:ptCount val="10"/>
                <c:pt idx="3">
                  <c:v>4.4567198947102628E-2</c:v>
                </c:pt>
                <c:pt idx="6">
                  <c:v>3.8693456409122376E-2</c:v>
                </c:pt>
                <c:pt idx="7">
                  <c:v>6.8869975762989644E-2</c:v>
                </c:pt>
              </c:numCache>
            </c:numRef>
          </c:val>
          <c:extLst>
            <c:ext xmlns:c16="http://schemas.microsoft.com/office/drawing/2014/chart" uri="{C3380CC4-5D6E-409C-BE32-E72D297353CC}">
              <c16:uniqueId val="{00000006-A4C4-4EF2-8B06-7EDB7EA285BC}"/>
            </c:ext>
          </c:extLst>
        </c:ser>
        <c:ser>
          <c:idx val="7"/>
          <c:order val="7"/>
          <c:tx>
            <c:strRef>
              <c:f>'Area VIIb-k trawlers 10-24m'!$C$99</c:f>
              <c:strCache>
                <c:ptCount val="1"/>
                <c:pt idx="0">
                  <c:v>Haddock</c:v>
                </c:pt>
              </c:strCache>
            </c:strRef>
          </c:tx>
          <c:spPr>
            <a:solidFill>
              <a:srgbClr val="707271"/>
            </a:solidFill>
            <a:ln>
              <a:solidFill>
                <a:srgbClr val="FFFFFF"/>
              </a:solidFill>
            </a:ln>
          </c:spPr>
          <c:invertIfNegative val="0"/>
          <c:cat>
            <c:numRef>
              <c:f>'Area VIIb-k trawlers 10-24m'!$D$91:$M$91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10-24m'!$D$99:$M$99</c:f>
              <c:numCache>
                <c:formatCode>0%</c:formatCode>
                <c:ptCount val="10"/>
                <c:pt idx="0">
                  <c:v>7.5086765936643471E-2</c:v>
                </c:pt>
                <c:pt idx="1">
                  <c:v>0.10277258756702529</c:v>
                </c:pt>
                <c:pt idx="2">
                  <c:v>7.975497210505321E-2</c:v>
                </c:pt>
              </c:numCache>
            </c:numRef>
          </c:val>
          <c:extLst>
            <c:ext xmlns:c16="http://schemas.microsoft.com/office/drawing/2014/chart" uri="{C3380CC4-5D6E-409C-BE32-E72D297353CC}">
              <c16:uniqueId val="{00000007-A4C4-4EF2-8B06-7EDB7EA285BC}"/>
            </c:ext>
          </c:extLst>
        </c:ser>
        <c:ser>
          <c:idx val="8"/>
          <c:order val="8"/>
          <c:tx>
            <c:strRef>
              <c:f>'Area VIIb-k trawlers 10-24m'!$C$100</c:f>
              <c:strCache>
                <c:ptCount val="1"/>
                <c:pt idx="0">
                  <c:v>Scallops</c:v>
                </c:pt>
              </c:strCache>
            </c:strRef>
          </c:tx>
          <c:spPr>
            <a:solidFill>
              <a:srgbClr val="51AA81"/>
            </a:solidFill>
            <a:ln>
              <a:solidFill>
                <a:srgbClr val="FFFFFF"/>
              </a:solidFill>
            </a:ln>
          </c:spPr>
          <c:invertIfNegative val="0"/>
          <c:cat>
            <c:numRef>
              <c:f>'Area VIIb-k trawlers 10-24m'!$D$91:$M$91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10-24m'!$D$100:$M$100</c:f>
              <c:numCache>
                <c:formatCode>0%</c:formatCode>
                <c:ptCount val="10"/>
                <c:pt idx="0">
                  <c:v>7.2492309920954942E-2</c:v>
                </c:pt>
                <c:pt idx="2">
                  <c:v>6.1724910154270007E-2</c:v>
                </c:pt>
              </c:numCache>
            </c:numRef>
          </c:val>
          <c:extLst>
            <c:ext xmlns:c16="http://schemas.microsoft.com/office/drawing/2014/chart" uri="{C3380CC4-5D6E-409C-BE32-E72D297353CC}">
              <c16:uniqueId val="{00000008-A4C4-4EF2-8B06-7EDB7EA285BC}"/>
            </c:ext>
          </c:extLst>
        </c:ser>
        <c:ser>
          <c:idx val="9"/>
          <c:order val="9"/>
          <c:tx>
            <c:strRef>
              <c:f>'Area VIIb-k trawlers 10-24m'!$C$101</c:f>
              <c:strCache>
                <c:ptCount val="1"/>
                <c:pt idx="0">
                  <c:v>Others</c:v>
                </c:pt>
              </c:strCache>
            </c:strRef>
          </c:tx>
          <c:spPr>
            <a:solidFill>
              <a:srgbClr val="55585A"/>
            </a:solidFill>
            <a:ln>
              <a:solidFill>
                <a:srgbClr val="FFFFFF"/>
              </a:solidFill>
            </a:ln>
          </c:spPr>
          <c:invertIfNegative val="0"/>
          <c:cat>
            <c:numRef>
              <c:f>'Area VIIb-k trawlers 10-24m'!$D$91:$M$91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10-24m'!$D$101:$M$101</c:f>
              <c:numCache>
                <c:formatCode>0%</c:formatCode>
                <c:ptCount val="10"/>
                <c:pt idx="0">
                  <c:v>0.50557250369791673</c:v>
                </c:pt>
                <c:pt idx="1">
                  <c:v>0.45551337923152851</c:v>
                </c:pt>
                <c:pt idx="2">
                  <c:v>0.44747920768966504</c:v>
                </c:pt>
                <c:pt idx="3">
                  <c:v>0.439894048450923</c:v>
                </c:pt>
                <c:pt idx="4">
                  <c:v>0.41125338773975856</c:v>
                </c:pt>
                <c:pt idx="5">
                  <c:v>0.43449214821659099</c:v>
                </c:pt>
                <c:pt idx="6">
                  <c:v>0.35039706492684553</c:v>
                </c:pt>
                <c:pt idx="7">
                  <c:v>0.51660334126652607</c:v>
                </c:pt>
                <c:pt idx="8">
                  <c:v>0.47333045490724196</c:v>
                </c:pt>
                <c:pt idx="9">
                  <c:v>0.47628995735980084</c:v>
                </c:pt>
              </c:numCache>
            </c:numRef>
          </c:val>
          <c:extLst>
            <c:ext xmlns:c16="http://schemas.microsoft.com/office/drawing/2014/chart" uri="{C3380CC4-5D6E-409C-BE32-E72D297353CC}">
              <c16:uniqueId val="{00000009-A4C4-4EF2-8B06-7EDB7EA285BC}"/>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'Area VIIb-k trawlers 10-24m'!$B$162</c:f>
              <c:strCache>
                <c:ptCount val="1"/>
                <c:pt idx="0">
                  <c:v>Cuttlefish</c:v>
                </c:pt>
              </c:strCache>
            </c:strRef>
          </c:tx>
          <c:spPr>
            <a:solidFill>
              <a:srgbClr val="2273B9"/>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10-24m'!$C$162:$E$162</c:f>
              <c:numCache>
                <c:formatCode>0%</c:formatCode>
                <c:ptCount val="3"/>
                <c:pt idx="0">
                  <c:v>0.1252715063174738</c:v>
                </c:pt>
                <c:pt idx="1">
                  <c:v>0.17454756400557983</c:v>
                </c:pt>
                <c:pt idx="2">
                  <c:v>0.13131660197477976</c:v>
                </c:pt>
              </c:numCache>
            </c:numRef>
          </c:val>
          <c:extLst>
            <c:ext xmlns:c16="http://schemas.microsoft.com/office/drawing/2014/chart" uri="{C3380CC4-5D6E-409C-BE32-E72D297353CC}">
              <c16:uniqueId val="{00000000-8A4C-4FE6-A0CC-5A5682E7CD29}"/>
            </c:ext>
          </c:extLst>
        </c:ser>
        <c:ser>
          <c:idx val="1"/>
          <c:order val="1"/>
          <c:tx>
            <c:strRef>
              <c:f>'Area VIIb-k trawlers 10-24m'!$B$163</c:f>
              <c:strCache>
                <c:ptCount val="1"/>
                <c:pt idx="0">
                  <c:v>Blonde Ray</c:v>
                </c:pt>
              </c:strCache>
            </c:strRef>
          </c:tx>
          <c:spPr>
            <a:solidFill>
              <a:srgbClr val="707271"/>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10-24m'!$C$163:$E$163</c:f>
              <c:numCache>
                <c:formatCode>0%</c:formatCode>
                <c:ptCount val="3"/>
                <c:pt idx="0">
                  <c:v>0</c:v>
                </c:pt>
                <c:pt idx="1">
                  <c:v>0.13519276902352795</c:v>
                </c:pt>
                <c:pt idx="2">
                  <c:v>0</c:v>
                </c:pt>
              </c:numCache>
            </c:numRef>
          </c:val>
          <c:extLst>
            <c:ext xmlns:c16="http://schemas.microsoft.com/office/drawing/2014/chart" uri="{C3380CC4-5D6E-409C-BE32-E72D297353CC}">
              <c16:uniqueId val="{00000001-8A4C-4FE6-A0CC-5A5682E7CD29}"/>
            </c:ext>
          </c:extLst>
        </c:ser>
        <c:ser>
          <c:idx val="2"/>
          <c:order val="2"/>
          <c:tx>
            <c:strRef>
              <c:f>'Area VIIb-k trawlers 10-24m'!$B$164</c:f>
              <c:strCache>
                <c:ptCount val="1"/>
                <c:pt idx="0">
                  <c:v>Les. Spot. Dog</c:v>
                </c:pt>
              </c:strCache>
            </c:strRef>
          </c:tx>
          <c:spPr>
            <a:solidFill>
              <a:srgbClr val="FED825"/>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10-24m'!$C$164:$E$164</c:f>
              <c:numCache>
                <c:formatCode>0%</c:formatCode>
                <c:ptCount val="3"/>
                <c:pt idx="0">
                  <c:v>6.7167938506578012E-2</c:v>
                </c:pt>
                <c:pt idx="1">
                  <c:v>0.1175336728848181</c:v>
                </c:pt>
                <c:pt idx="2">
                  <c:v>0.13017840426889851</c:v>
                </c:pt>
              </c:numCache>
            </c:numRef>
          </c:val>
          <c:extLst>
            <c:ext xmlns:c16="http://schemas.microsoft.com/office/drawing/2014/chart" uri="{C3380CC4-5D6E-409C-BE32-E72D297353CC}">
              <c16:uniqueId val="{00000002-8A4C-4FE6-A0CC-5A5682E7CD29}"/>
            </c:ext>
          </c:extLst>
        </c:ser>
        <c:ser>
          <c:idx val="3"/>
          <c:order val="3"/>
          <c:tx>
            <c:strRef>
              <c:f>'Area VIIb-k trawlers 10-24m'!$B$165</c:f>
              <c:strCache>
                <c:ptCount val="1"/>
                <c:pt idx="0">
                  <c:v>Sprats</c:v>
                </c:pt>
              </c:strCache>
            </c:strRef>
          </c:tx>
          <c:spPr>
            <a:solidFill>
              <a:srgbClr val="0F9AA9"/>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10-24m'!$C$165:$E$165</c:f>
              <c:numCache>
                <c:formatCode>0%</c:formatCode>
                <c:ptCount val="3"/>
                <c:pt idx="0">
                  <c:v>0.21411021444542358</c:v>
                </c:pt>
                <c:pt idx="1">
                  <c:v>0.11746176022710685</c:v>
                </c:pt>
                <c:pt idx="2">
                  <c:v>0</c:v>
                </c:pt>
              </c:numCache>
            </c:numRef>
          </c:val>
          <c:extLst>
            <c:ext xmlns:c16="http://schemas.microsoft.com/office/drawing/2014/chart" uri="{C3380CC4-5D6E-409C-BE32-E72D297353CC}">
              <c16:uniqueId val="{00000003-8A4C-4FE6-A0CC-5A5682E7CD29}"/>
            </c:ext>
          </c:extLst>
        </c:ser>
        <c:ser>
          <c:idx val="4"/>
          <c:order val="4"/>
          <c:tx>
            <c:strRef>
              <c:f>'Area VIIb-k trawlers 10-24m'!$B$166</c:f>
              <c:strCache>
                <c:ptCount val="1"/>
                <c:pt idx="0">
                  <c:v>Anglerfish</c:v>
                </c:pt>
              </c:strCache>
            </c:strRef>
          </c:tx>
          <c:spPr>
            <a:solidFill>
              <a:srgbClr val="648C2E"/>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10-24m'!$C$166:$E$166</c:f>
              <c:numCache>
                <c:formatCode>0%</c:formatCode>
                <c:ptCount val="3"/>
                <c:pt idx="0">
                  <c:v>5.3970984159466877E-2</c:v>
                </c:pt>
                <c:pt idx="1">
                  <c:v>8.8881553360952117E-2</c:v>
                </c:pt>
                <c:pt idx="2">
                  <c:v>8.5911230289672638E-2</c:v>
                </c:pt>
              </c:numCache>
            </c:numRef>
          </c:val>
          <c:extLst>
            <c:ext xmlns:c16="http://schemas.microsoft.com/office/drawing/2014/chart" uri="{C3380CC4-5D6E-409C-BE32-E72D297353CC}">
              <c16:uniqueId val="{00000004-8A4C-4FE6-A0CC-5A5682E7CD29}"/>
            </c:ext>
          </c:extLst>
        </c:ser>
        <c:ser>
          <c:idx val="5"/>
          <c:order val="5"/>
          <c:tx>
            <c:strRef>
              <c:f>'Area VIIb-k trawlers 10-24m'!$B$167</c:f>
              <c:strCache>
                <c:ptCount val="1"/>
                <c:pt idx="0">
                  <c:v>Whiting</c:v>
                </c:pt>
              </c:strCache>
            </c:strRef>
          </c:tx>
          <c:spPr>
            <a:solidFill>
              <a:srgbClr val="51AA81"/>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10-24m'!$C$167:$E$167</c:f>
              <c:numCache>
                <c:formatCode>0%</c:formatCode>
                <c:ptCount val="3"/>
                <c:pt idx="0">
                  <c:v>0</c:v>
                </c:pt>
                <c:pt idx="1">
                  <c:v>0</c:v>
                </c:pt>
                <c:pt idx="2">
                  <c:v>0.12898667891020987</c:v>
                </c:pt>
              </c:numCache>
            </c:numRef>
          </c:val>
          <c:extLst>
            <c:ext xmlns:c16="http://schemas.microsoft.com/office/drawing/2014/chart" uri="{C3380CC4-5D6E-409C-BE32-E72D297353CC}">
              <c16:uniqueId val="{00000005-8A4C-4FE6-A0CC-5A5682E7CD29}"/>
            </c:ext>
          </c:extLst>
        </c:ser>
        <c:ser>
          <c:idx val="6"/>
          <c:order val="6"/>
          <c:tx>
            <c:strRef>
              <c:f>'Area VIIb-k trawlers 10-24m'!$B$168</c:f>
              <c:strCache>
                <c:ptCount val="1"/>
                <c:pt idx="0">
                  <c:v>Plaice</c:v>
                </c:pt>
              </c:strCache>
            </c:strRef>
          </c:tx>
          <c:spPr>
            <a:solidFill>
              <a:srgbClr val="169FDB"/>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10-24m'!$C$168:$E$168</c:f>
              <c:numCache>
                <c:formatCode>0%</c:formatCode>
                <c:ptCount val="3"/>
                <c:pt idx="0">
                  <c:v>0</c:v>
                </c:pt>
                <c:pt idx="1">
                  <c:v>0</c:v>
                </c:pt>
                <c:pt idx="2">
                  <c:v>9.2616439464927522E-2</c:v>
                </c:pt>
              </c:numCache>
            </c:numRef>
          </c:val>
          <c:extLst>
            <c:ext xmlns:c16="http://schemas.microsoft.com/office/drawing/2014/chart" uri="{C3380CC4-5D6E-409C-BE32-E72D297353CC}">
              <c16:uniqueId val="{00000006-8A4C-4FE6-A0CC-5A5682E7CD29}"/>
            </c:ext>
          </c:extLst>
        </c:ser>
        <c:ser>
          <c:idx val="7"/>
          <c:order val="7"/>
          <c:tx>
            <c:strRef>
              <c:f>'Area VIIb-k trawlers 10-24m'!$B$169</c:f>
              <c:strCache>
                <c:ptCount val="1"/>
                <c:pt idx="0">
                  <c:v>Lemon Sole</c:v>
                </c:pt>
              </c:strCache>
            </c:strRef>
          </c:tx>
          <c:spPr>
            <a:solidFill>
              <a:srgbClr val="E87308"/>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10-24m'!$C$169:$E$169</c:f>
              <c:numCache>
                <c:formatCode>0%</c:formatCode>
                <c:ptCount val="3"/>
                <c:pt idx="0">
                  <c:v>5.8196089000308503E-2</c:v>
                </c:pt>
                <c:pt idx="1">
                  <c:v>0</c:v>
                </c:pt>
                <c:pt idx="2">
                  <c:v>0</c:v>
                </c:pt>
              </c:numCache>
            </c:numRef>
          </c:val>
          <c:extLst>
            <c:ext xmlns:c16="http://schemas.microsoft.com/office/drawing/2014/chart" uri="{C3380CC4-5D6E-409C-BE32-E72D297353CC}">
              <c16:uniqueId val="{00000007-8A4C-4FE6-A0CC-5A5682E7CD29}"/>
            </c:ext>
          </c:extLst>
        </c:ser>
        <c:ser>
          <c:idx val="8"/>
          <c:order val="8"/>
          <c:tx>
            <c:strRef>
              <c:f>'Area VIIb-k trawlers 10-24m'!$B$170</c:f>
              <c:strCache>
                <c:ptCount val="1"/>
                <c:pt idx="0">
                  <c:v>Others</c:v>
                </c:pt>
              </c:strCache>
            </c:strRef>
          </c:tx>
          <c:spPr>
            <a:solidFill>
              <a:srgbClr val="55585A"/>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10-24m'!$C$170:$E$170</c:f>
              <c:numCache>
                <c:formatCode>0%</c:formatCode>
                <c:ptCount val="3"/>
                <c:pt idx="0">
                  <c:v>0.48128326757074924</c:v>
                </c:pt>
                <c:pt idx="1">
                  <c:v>0.36638268049801515</c:v>
                </c:pt>
                <c:pt idx="2">
                  <c:v>0.43099064509151164</c:v>
                </c:pt>
              </c:numCache>
            </c:numRef>
          </c:val>
          <c:extLst>
            <c:ext xmlns:c16="http://schemas.microsoft.com/office/drawing/2014/chart" uri="{C3380CC4-5D6E-409C-BE32-E72D297353CC}">
              <c16:uniqueId val="{00000008-8A4C-4FE6-A0CC-5A5682E7CD29}"/>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'Area VIIb-k trawlers 10-24m'!$H$162</c:f>
              <c:strCache>
                <c:ptCount val="1"/>
                <c:pt idx="0">
                  <c:v>Cuttlefish</c:v>
                </c:pt>
              </c:strCache>
            </c:strRef>
          </c:tx>
          <c:spPr>
            <a:solidFill>
              <a:srgbClr val="2273B9"/>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10-24m'!$I$162:$K$162</c:f>
              <c:numCache>
                <c:formatCode>0%</c:formatCode>
                <c:ptCount val="3"/>
                <c:pt idx="0">
                  <c:v>0.17431899430010564</c:v>
                </c:pt>
                <c:pt idx="1">
                  <c:v>0.20373962705601531</c:v>
                </c:pt>
                <c:pt idx="2">
                  <c:v>0.14641687336523393</c:v>
                </c:pt>
              </c:numCache>
            </c:numRef>
          </c:val>
          <c:extLst>
            <c:ext xmlns:c16="http://schemas.microsoft.com/office/drawing/2014/chart" uri="{C3380CC4-5D6E-409C-BE32-E72D297353CC}">
              <c16:uniqueId val="{00000000-9F96-4CB3-B897-2B371F48F4C1}"/>
            </c:ext>
          </c:extLst>
        </c:ser>
        <c:ser>
          <c:idx val="1"/>
          <c:order val="1"/>
          <c:tx>
            <c:strRef>
              <c:f>'Area VIIb-k trawlers 10-24m'!$H$163</c:f>
              <c:strCache>
                <c:ptCount val="1"/>
                <c:pt idx="0">
                  <c:v>Lemon Sole</c:v>
                </c:pt>
              </c:strCache>
            </c:strRef>
          </c:tx>
          <c:spPr>
            <a:solidFill>
              <a:srgbClr val="E87308"/>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10-24m'!$I$163:$K$163</c:f>
              <c:numCache>
                <c:formatCode>0%</c:formatCode>
                <c:ptCount val="3"/>
                <c:pt idx="0">
                  <c:v>0.14804896871534351</c:v>
                </c:pt>
                <c:pt idx="1">
                  <c:v>0.16979170398268137</c:v>
                </c:pt>
                <c:pt idx="2">
                  <c:v>0.1295448704363652</c:v>
                </c:pt>
              </c:numCache>
            </c:numRef>
          </c:val>
          <c:extLst>
            <c:ext xmlns:c16="http://schemas.microsoft.com/office/drawing/2014/chart" uri="{C3380CC4-5D6E-409C-BE32-E72D297353CC}">
              <c16:uniqueId val="{00000001-9F96-4CB3-B897-2B371F48F4C1}"/>
            </c:ext>
          </c:extLst>
        </c:ser>
        <c:ser>
          <c:idx val="2"/>
          <c:order val="2"/>
          <c:tx>
            <c:strRef>
              <c:f>'Area VIIb-k trawlers 10-24m'!$H$164</c:f>
              <c:strCache>
                <c:ptCount val="1"/>
                <c:pt idx="0">
                  <c:v>Anglerfish</c:v>
                </c:pt>
              </c:strCache>
            </c:strRef>
          </c:tx>
          <c:spPr>
            <a:solidFill>
              <a:srgbClr val="648C2E"/>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10-24m'!$I$164:$K$164</c:f>
              <c:numCache>
                <c:formatCode>0%</c:formatCode>
                <c:ptCount val="3"/>
                <c:pt idx="0">
                  <c:v>8.6379280596445659E-2</c:v>
                </c:pt>
                <c:pt idx="1">
                  <c:v>0.11374111362347195</c:v>
                </c:pt>
                <c:pt idx="2">
                  <c:v>0.10571548987909005</c:v>
                </c:pt>
              </c:numCache>
            </c:numRef>
          </c:val>
          <c:extLst>
            <c:ext xmlns:c16="http://schemas.microsoft.com/office/drawing/2014/chart" uri="{C3380CC4-5D6E-409C-BE32-E72D297353CC}">
              <c16:uniqueId val="{00000002-9F96-4CB3-B897-2B371F48F4C1}"/>
            </c:ext>
          </c:extLst>
        </c:ser>
        <c:ser>
          <c:idx val="3"/>
          <c:order val="3"/>
          <c:tx>
            <c:strRef>
              <c:f>'Area VIIb-k trawlers 10-24m'!$H$165</c:f>
              <c:strCache>
                <c:ptCount val="1"/>
                <c:pt idx="0">
                  <c:v>Sole</c:v>
                </c:pt>
              </c:strCache>
            </c:strRef>
          </c:tx>
          <c:spPr>
            <a:solidFill>
              <a:srgbClr val="E84A38"/>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10-24m'!$I$165:$K$165</c:f>
              <c:numCache>
                <c:formatCode>0%</c:formatCode>
                <c:ptCount val="3"/>
                <c:pt idx="0">
                  <c:v>0</c:v>
                </c:pt>
                <c:pt idx="1">
                  <c:v>9.2171002871024477E-2</c:v>
                </c:pt>
                <c:pt idx="2">
                  <c:v>8.024638347220131E-2</c:v>
                </c:pt>
              </c:numCache>
            </c:numRef>
          </c:val>
          <c:extLst>
            <c:ext xmlns:c16="http://schemas.microsoft.com/office/drawing/2014/chart" uri="{C3380CC4-5D6E-409C-BE32-E72D297353CC}">
              <c16:uniqueId val="{00000003-9F96-4CB3-B897-2B371F48F4C1}"/>
            </c:ext>
          </c:extLst>
        </c:ser>
        <c:ser>
          <c:idx val="4"/>
          <c:order val="4"/>
          <c:tx>
            <c:strRef>
              <c:f>'Area VIIb-k trawlers 10-24m'!$H$166</c:f>
              <c:strCache>
                <c:ptCount val="1"/>
                <c:pt idx="0">
                  <c:v>Blonde Ray</c:v>
                </c:pt>
              </c:strCache>
            </c:strRef>
          </c:tx>
          <c:spPr>
            <a:solidFill>
              <a:srgbClr val="707271"/>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10-24m'!$I$166:$K$166</c:f>
              <c:numCache>
                <c:formatCode>0%</c:formatCode>
                <c:ptCount val="3"/>
                <c:pt idx="0">
                  <c:v>0</c:v>
                </c:pt>
                <c:pt idx="1">
                  <c:v>8.8177560491969578E-2</c:v>
                </c:pt>
                <c:pt idx="2">
                  <c:v>0</c:v>
                </c:pt>
              </c:numCache>
            </c:numRef>
          </c:val>
          <c:extLst>
            <c:ext xmlns:c16="http://schemas.microsoft.com/office/drawing/2014/chart" uri="{C3380CC4-5D6E-409C-BE32-E72D297353CC}">
              <c16:uniqueId val="{00000004-9F96-4CB3-B897-2B371F48F4C1}"/>
            </c:ext>
          </c:extLst>
        </c:ser>
        <c:ser>
          <c:idx val="5"/>
          <c:order val="5"/>
          <c:tx>
            <c:strRef>
              <c:f>'Area VIIb-k trawlers 10-24m'!$H$167</c:f>
              <c:strCache>
                <c:ptCount val="1"/>
                <c:pt idx="0">
                  <c:v>Squid</c:v>
                </c:pt>
              </c:strCache>
            </c:strRef>
          </c:tx>
          <c:spPr>
            <a:solidFill>
              <a:srgbClr val="C1D119"/>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10-24m'!$I$167:$K$167</c:f>
              <c:numCache>
                <c:formatCode>0%</c:formatCode>
                <c:ptCount val="3"/>
                <c:pt idx="0">
                  <c:v>5.7426282300981249E-2</c:v>
                </c:pt>
                <c:pt idx="1">
                  <c:v>0</c:v>
                </c:pt>
                <c:pt idx="2">
                  <c:v>0.11880630473619733</c:v>
                </c:pt>
              </c:numCache>
            </c:numRef>
          </c:val>
          <c:extLst>
            <c:ext xmlns:c16="http://schemas.microsoft.com/office/drawing/2014/chart" uri="{C3380CC4-5D6E-409C-BE32-E72D297353CC}">
              <c16:uniqueId val="{00000005-9F96-4CB3-B897-2B371F48F4C1}"/>
            </c:ext>
          </c:extLst>
        </c:ser>
        <c:ser>
          <c:idx val="6"/>
          <c:order val="6"/>
          <c:tx>
            <c:strRef>
              <c:f>'Area VIIb-k trawlers 10-24m'!$H$168</c:f>
              <c:strCache>
                <c:ptCount val="1"/>
                <c:pt idx="0">
                  <c:v>Haddock</c:v>
                </c:pt>
              </c:strCache>
            </c:strRef>
          </c:tx>
          <c:spPr>
            <a:solidFill>
              <a:srgbClr val="E40D2C"/>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10-24m'!$I$168:$K$168</c:f>
              <c:numCache>
                <c:formatCode>0%</c:formatCode>
                <c:ptCount val="3"/>
                <c:pt idx="0">
                  <c:v>6.0979869186173874E-2</c:v>
                </c:pt>
                <c:pt idx="1">
                  <c:v>0</c:v>
                </c:pt>
                <c:pt idx="2">
                  <c:v>0</c:v>
                </c:pt>
              </c:numCache>
            </c:numRef>
          </c:val>
          <c:extLst>
            <c:ext xmlns:c16="http://schemas.microsoft.com/office/drawing/2014/chart" uri="{C3380CC4-5D6E-409C-BE32-E72D297353CC}">
              <c16:uniqueId val="{00000006-9F96-4CB3-B897-2B371F48F4C1}"/>
            </c:ext>
          </c:extLst>
        </c:ser>
        <c:ser>
          <c:idx val="7"/>
          <c:order val="7"/>
          <c:tx>
            <c:strRef>
              <c:f>'Area VIIb-k trawlers 10-24m'!$H$169</c:f>
              <c:strCache>
                <c:ptCount val="1"/>
                <c:pt idx="0">
                  <c:v>Others</c:v>
                </c:pt>
              </c:strCache>
            </c:strRef>
          </c:tx>
          <c:spPr>
            <a:solidFill>
              <a:srgbClr val="55585A"/>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10-24m'!$I$169:$K$169</c:f>
              <c:numCache>
                <c:formatCode>0%</c:formatCode>
                <c:ptCount val="3"/>
                <c:pt idx="0">
                  <c:v>0.4728466049009501</c:v>
                </c:pt>
                <c:pt idx="1">
                  <c:v>0.33237899197483733</c:v>
                </c:pt>
                <c:pt idx="2">
                  <c:v>0.41927007811091221</c:v>
                </c:pt>
              </c:numCache>
            </c:numRef>
          </c:val>
          <c:extLst>
            <c:ext xmlns:c16="http://schemas.microsoft.com/office/drawing/2014/chart" uri="{C3380CC4-5D6E-409C-BE32-E72D297353CC}">
              <c16:uniqueId val="{00000007-9F96-4CB3-B897-2B371F48F4C1}"/>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trawl'!$K$62</c:f>
          <c:strCache>
            <c:ptCount val="1"/>
            <c:pt idx="0">
              <c:v>Average annual operating profit per vessel (£'000)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C778-41D6-8FFF-90D15D2722C0}"/>
              </c:ext>
            </c:extLst>
          </c:dPt>
          <c:dPt>
            <c:idx val="10"/>
            <c:bubble3D val="0"/>
            <c:spPr>
              <a:ln w="57150">
                <a:solidFill>
                  <a:schemeClr val="accent5"/>
                </a:solidFill>
                <a:prstDash val="sysDot"/>
              </a:ln>
            </c:spPr>
            <c:extLst>
              <c:ext xmlns:c16="http://schemas.microsoft.com/office/drawing/2014/chart" uri="{C3380CC4-5D6E-409C-BE32-E72D297353CC}">
                <c16:uniqueId val="{00000003-C778-41D6-8FFF-90D15D2722C0}"/>
              </c:ext>
            </c:extLst>
          </c:dPt>
          <c:cat>
            <c:numRef>
              <c:f>'Area VIIa demersal trawl'!$D$2:$M$2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'Area VIIa demersal trawl'!$D$37:$N$37</c:f>
              <c:numCache>
                <c:formatCode>#,##0.0</c:formatCode>
                <c:ptCount val="11"/>
                <c:pt idx="0">
                  <c:v>33.1</c:v>
                </c:pt>
                <c:pt idx="1">
                  <c:v>11</c:v>
                </c:pt>
                <c:pt idx="2">
                  <c:v>13.4</c:v>
                </c:pt>
                <c:pt idx="3">
                  <c:v>19</c:v>
                </c:pt>
                <c:pt idx="4">
                  <c:v>27</c:v>
                </c:pt>
                <c:pt idx="5">
                  <c:v>30.5</c:v>
                </c:pt>
                <c:pt idx="6">
                  <c:v>55.4</c:v>
                </c:pt>
                <c:pt idx="7">
                  <c:v>64.2</c:v>
                </c:pt>
                <c:pt idx="8">
                  <c:v>70.400000000000006</c:v>
                </c:pt>
                <c:pt idx="9">
                  <c:v>84.4</c:v>
                </c:pt>
                <c:pt idx="10">
                  <c:v>-9.5</c:v>
                </c:pt>
              </c:numCache>
            </c:numRef>
          </c:val>
          <c:smooth val="0"/>
          <c:extLst>
            <c:ext xmlns:c16="http://schemas.microsoft.com/office/drawing/2014/chart" uri="{C3380CC4-5D6E-409C-BE32-E72D297353CC}">
              <c16:uniqueId val="{00000004-C778-41D6-8FFF-90D15D2722C0}"/>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'Area VIIb-k trawlers 10-24m'!$K$139</c:f>
              <c:strCache>
                <c:ptCount val="1"/>
                <c:pt idx="0">
                  <c:v>Total income</c:v>
                </c:pt>
              </c:strCache>
            </c:strRef>
          </c:tx>
          <c:spPr>
            <a:solidFill>
              <a:srgbClr val="087CBB"/>
            </a:solidFill>
            <a:ln>
              <a:solidFill>
                <a:schemeClr val="accent1"/>
              </a:solidFill>
            </a:ln>
          </c:spPr>
          <c:invertIfNegative val="0"/>
          <c:cat>
            <c:strRef>
              <c:f>'Area VIIb-k trawlers 10-24m'!$L$138:$N$138</c:f>
              <c:strCache>
                <c:ptCount val="3"/>
                <c:pt idx="0">
                  <c:v>Most
profitable
quartile</c:v>
                </c:pt>
                <c:pt idx="1">
                  <c:v>Middle
two quartiles</c:v>
                </c:pt>
                <c:pt idx="2">
                  <c:v>Least
profitable
quartile</c:v>
                </c:pt>
              </c:strCache>
            </c:strRef>
          </c:cat>
          <c:val>
            <c:numRef>
              <c:f>'Area VIIb-k trawlers 10-24m'!$L$139:$N$139</c:f>
              <c:numCache>
                <c:formatCode>#,##0</c:formatCode>
                <c:ptCount val="3"/>
                <c:pt idx="0">
                  <c:v>503.45478125</c:v>
                </c:pt>
                <c:pt idx="1">
                  <c:v>179.21951562500001</c:v>
                </c:pt>
                <c:pt idx="2">
                  <c:v>86.292265624999999</c:v>
                </c:pt>
              </c:numCache>
            </c:numRef>
          </c:val>
          <c:extLst>
            <c:ext xmlns:c16="http://schemas.microsoft.com/office/drawing/2014/chart" uri="{C3380CC4-5D6E-409C-BE32-E72D297353CC}">
              <c16:uniqueId val="{00000000-FF04-4E1C-96F4-C9B2864B25D3}"/>
            </c:ext>
          </c:extLst>
        </c:ser>
        <c:ser>
          <c:idx val="1"/>
          <c:order val="1"/>
          <c:tx>
            <c:strRef>
              <c:f>'Area VIIb-k trawlers 10-24m'!$K$140</c:f>
              <c:strCache>
                <c:ptCount val="1"/>
                <c:pt idx="0">
                  <c:v>Operating costs</c:v>
                </c:pt>
              </c:strCache>
            </c:strRef>
          </c:tx>
          <c:spPr>
            <a:solidFill>
              <a:srgbClr val="E87308"/>
            </a:solidFill>
          </c:spPr>
          <c:invertIfNegative val="0"/>
          <c:cat>
            <c:strRef>
              <c:f>'Area VIIb-k trawlers 10-24m'!$L$138:$N$138</c:f>
              <c:strCache>
                <c:ptCount val="3"/>
                <c:pt idx="0">
                  <c:v>Most
profitable
quartile</c:v>
                </c:pt>
                <c:pt idx="1">
                  <c:v>Middle
two quartiles</c:v>
                </c:pt>
                <c:pt idx="2">
                  <c:v>Least
profitable
quartile</c:v>
                </c:pt>
              </c:strCache>
            </c:strRef>
          </c:cat>
          <c:val>
            <c:numRef>
              <c:f>'Area VIIb-k trawlers 10-24m'!$L$140:$N$140</c:f>
              <c:numCache>
                <c:formatCode>#,##0</c:formatCode>
                <c:ptCount val="3"/>
                <c:pt idx="0">
                  <c:v>366.98896875000003</c:v>
                </c:pt>
                <c:pt idx="1">
                  <c:v>144.64395703125001</c:v>
                </c:pt>
                <c:pt idx="2">
                  <c:v>79.765968749999999</c:v>
                </c:pt>
              </c:numCache>
            </c:numRef>
          </c:val>
          <c:extLst>
            <c:ext xmlns:c16="http://schemas.microsoft.com/office/drawing/2014/chart" uri="{C3380CC4-5D6E-409C-BE32-E72D297353CC}">
              <c16:uniqueId val="{00000001-FF04-4E1C-96F4-C9B2864B25D3}"/>
            </c:ext>
          </c:extLst>
        </c:ser>
        <c:ser>
          <c:idx val="2"/>
          <c:order val="2"/>
          <c:tx>
            <c:strRef>
              <c:f>'Area VIIb-k trawlers 10-24m'!$K$141</c:f>
              <c:strCache>
                <c:ptCount val="1"/>
                <c:pt idx="0">
                  <c:v>Operating profit</c:v>
                </c:pt>
              </c:strCache>
            </c:strRef>
          </c:tx>
          <c:spPr>
            <a:solidFill>
              <a:srgbClr val="51AA81"/>
            </a:solidFill>
          </c:spPr>
          <c:invertIfNegative val="0"/>
          <c:cat>
            <c:strRef>
              <c:f>'Area VIIb-k trawlers 10-24m'!$L$138:$N$138</c:f>
              <c:strCache>
                <c:ptCount val="3"/>
                <c:pt idx="0">
                  <c:v>Most
profitable
quartile</c:v>
                </c:pt>
                <c:pt idx="1">
                  <c:v>Middle
two quartiles</c:v>
                </c:pt>
                <c:pt idx="2">
                  <c:v>Least
profitable
quartile</c:v>
                </c:pt>
              </c:strCache>
            </c:strRef>
          </c:cat>
          <c:val>
            <c:numRef>
              <c:f>'Area VIIb-k trawlers 10-24m'!$L$141:$N$141</c:f>
              <c:numCache>
                <c:formatCode>#,##0</c:formatCode>
                <c:ptCount val="3"/>
                <c:pt idx="0">
                  <c:v>136.4658125</c:v>
                </c:pt>
                <c:pt idx="1">
                  <c:v>34.575558593750003</c:v>
                </c:pt>
                <c:pt idx="2">
                  <c:v>6.5262968749999999</c:v>
                </c:pt>
              </c:numCache>
            </c:numRef>
          </c:val>
          <c:extLst>
            <c:ext xmlns:c16="http://schemas.microsoft.com/office/drawing/2014/chart" uri="{C3380CC4-5D6E-409C-BE32-E72D297353CC}">
              <c16:uniqueId val="{00000002-FF04-4E1C-96F4-C9B2864B25D3}"/>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'Area VIIb-k trawlers 10-24m'!$K$142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netters'!$A$48</c:f>
          <c:strCache>
            <c:ptCount val="1"/>
            <c:pt idx="0">
              <c:v>Landings per kW day at sea (kg)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1FAD-49C7-8061-80EABECB6B4E}"/>
              </c:ext>
            </c:extLst>
          </c:dPt>
          <c:dPt>
            <c:idx val="10"/>
            <c:bubble3D val="0"/>
            <c:spPr>
              <a:ln w="57150">
                <a:solidFill>
                  <a:srgbClr val="2273B9"/>
                </a:solidFill>
                <a:prstDash val="sysDot"/>
              </a:ln>
            </c:spPr>
            <c:extLst>
              <c:ext xmlns:c16="http://schemas.microsoft.com/office/drawing/2014/chart" uri="{C3380CC4-5D6E-409C-BE32-E72D297353CC}">
                <c16:uniqueId val="{00000003-1FAD-49C7-8061-80EABECB6B4E}"/>
              </c:ext>
            </c:extLst>
          </c:dPt>
          <c:cat>
            <c:numRef>
              <c:f>'Gill netters'!$D$2:$N$2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'Gill netters'!$D$21:$N$21</c:f>
              <c:numCache>
                <c:formatCode>#,##0.00</c:formatCode>
                <c:ptCount val="11"/>
                <c:pt idx="0">
                  <c:v>2.5216927733632066</c:v>
                </c:pt>
                <c:pt idx="1">
                  <c:v>3.1100025314419253</c:v>
                </c:pt>
                <c:pt idx="2">
                  <c:v>3.7437948670724865</c:v>
                </c:pt>
                <c:pt idx="3">
                  <c:v>3.8668642969403821</c:v>
                </c:pt>
                <c:pt idx="4">
                  <c:v>3.8573823137558154</c:v>
                </c:pt>
                <c:pt idx="5">
                  <c:v>3.5905692295931111</c:v>
                </c:pt>
                <c:pt idx="6">
                  <c:v>4.0660049621417915</c:v>
                </c:pt>
                <c:pt idx="7">
                  <c:v>4.7682826519038253</c:v>
                </c:pt>
                <c:pt idx="8">
                  <c:v>5.1229019903094182</c:v>
                </c:pt>
                <c:pt idx="9">
                  <c:v>5.0814779155069756</c:v>
                </c:pt>
                <c:pt idx="10">
                  <c:v>4.6612935761754963</c:v>
                </c:pt>
              </c:numCache>
            </c:numRef>
          </c:val>
          <c:smooth val="0"/>
          <c:extLst>
            <c:ext xmlns:c16="http://schemas.microsoft.com/office/drawing/2014/chart" uri="{C3380CC4-5D6E-409C-BE32-E72D297353CC}">
              <c16:uniqueId val="{00000004-1FAD-49C7-8061-80EABECB6B4E}"/>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netters'!$A$49</c:f>
          <c:strCache>
            <c:ptCount val="1"/>
            <c:pt idx="0">
              <c:v>Fishing income per kW day at sea (£)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5E0D-427D-B585-8CE1E1F5BA04}"/>
              </c:ext>
            </c:extLst>
          </c:dPt>
          <c:dPt>
            <c:idx val="10"/>
            <c:bubble3D val="0"/>
            <c:spPr>
              <a:ln w="57150">
                <a:solidFill>
                  <a:srgbClr val="648C2E"/>
                </a:solidFill>
                <a:prstDash val="sysDot"/>
              </a:ln>
            </c:spPr>
            <c:extLst>
              <c:ext xmlns:c16="http://schemas.microsoft.com/office/drawing/2014/chart" uri="{C3380CC4-5D6E-409C-BE32-E72D297353CC}">
                <c16:uniqueId val="{00000003-5E0D-427D-B585-8CE1E1F5BA04}"/>
              </c:ext>
            </c:extLst>
          </c:dPt>
          <c:cat>
            <c:numRef>
              <c:f>'Gill netters'!$D$2:$N$2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'Gill netters'!$D$22:$N$22</c:f>
              <c:numCache>
                <c:formatCode>#,##0.00</c:formatCode>
                <c:ptCount val="11"/>
                <c:pt idx="0">
                  <c:v>8.8141646924929606</c:v>
                </c:pt>
                <c:pt idx="1">
                  <c:v>9.2796034116843291</c:v>
                </c:pt>
                <c:pt idx="2">
                  <c:v>9.6301260179514205</c:v>
                </c:pt>
                <c:pt idx="3">
                  <c:v>8.4971624988901304</c:v>
                </c:pt>
                <c:pt idx="4">
                  <c:v>9.5688936206561905</c:v>
                </c:pt>
                <c:pt idx="5">
                  <c:v>8.9816748843220893</c:v>
                </c:pt>
                <c:pt idx="6">
                  <c:v>10.2412838699302</c:v>
                </c:pt>
                <c:pt idx="7">
                  <c:v>9.6342682337570196</c:v>
                </c:pt>
                <c:pt idx="8">
                  <c:v>9.5697909863442394</c:v>
                </c:pt>
                <c:pt idx="9">
                  <c:v>12.917650982682201</c:v>
                </c:pt>
                <c:pt idx="10">
                  <c:v>8.1008662924220012</c:v>
                </c:pt>
              </c:numCache>
            </c:numRef>
          </c:val>
          <c:smooth val="0"/>
          <c:extLst>
            <c:ext xmlns:c16="http://schemas.microsoft.com/office/drawing/2014/chart" uri="{C3380CC4-5D6E-409C-BE32-E72D297353CC}">
              <c16:uniqueId val="{00000004-5E0D-427D-B585-8CE1E1F5BA04}"/>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netters'!$B$62</c:f>
          <c:strCache>
            <c:ptCount val="1"/>
            <c:pt idx="0">
              <c:v>Total cost per kW day at sea (£)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3EA2-410F-B3C0-3E6477DFCB50}"/>
              </c:ext>
            </c:extLst>
          </c:dPt>
          <c:dPt>
            <c:idx val="10"/>
            <c:bubble3D val="0"/>
            <c:spPr>
              <a:ln w="57150">
                <a:solidFill>
                  <a:srgbClr val="087CBB"/>
                </a:solidFill>
                <a:prstDash val="sysDot"/>
              </a:ln>
            </c:spPr>
            <c:extLst>
              <c:ext xmlns:c16="http://schemas.microsoft.com/office/drawing/2014/chart" uri="{C3380CC4-5D6E-409C-BE32-E72D297353CC}">
                <c16:uniqueId val="{00000003-3EA2-410F-B3C0-3E6477DFCB50}"/>
              </c:ext>
            </c:extLst>
          </c:dPt>
          <c:cat>
            <c:numRef>
              <c:f>'Gill netters'!$D$2:$N$2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'Gill netters'!$D$23:$N$23</c:f>
              <c:numCache>
                <c:formatCode>#,##0.00</c:formatCode>
                <c:ptCount val="11"/>
                <c:pt idx="0">
                  <c:v>6.2894774978179298</c:v>
                </c:pt>
                <c:pt idx="1">
                  <c:v>8.6474435319327991</c:v>
                </c:pt>
                <c:pt idx="2">
                  <c:v>7.3532802141292102</c:v>
                </c:pt>
                <c:pt idx="3">
                  <c:v>7.5339442210001497</c:v>
                </c:pt>
                <c:pt idx="4">
                  <c:v>7.4051995370482597</c:v>
                </c:pt>
                <c:pt idx="5">
                  <c:v>6.7344515042418998</c:v>
                </c:pt>
                <c:pt idx="6">
                  <c:v>8.1425998003874493</c:v>
                </c:pt>
                <c:pt idx="7">
                  <c:v>8.3833665006757006</c:v>
                </c:pt>
                <c:pt idx="8">
                  <c:v>8.5399237071385095</c:v>
                </c:pt>
                <c:pt idx="9">
                  <c:v>11.255053169662499</c:v>
                </c:pt>
                <c:pt idx="10">
                  <c:v>8.0531498548699112</c:v>
                </c:pt>
              </c:numCache>
            </c:numRef>
          </c:val>
          <c:smooth val="0"/>
          <c:extLst>
            <c:ext xmlns:c16="http://schemas.microsoft.com/office/drawing/2014/chart" uri="{C3380CC4-5D6E-409C-BE32-E72D297353CC}">
              <c16:uniqueId val="{00000004-3EA2-410F-B3C0-3E6477DFCB50}"/>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netters'!$K$48</c:f>
          <c:strCache>
            <c:ptCount val="1"/>
            <c:pt idx="0">
              <c:v>Operating profit per kW day at sea (£)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97EA-4A78-952C-1B72E2D443CB}"/>
              </c:ext>
            </c:extLst>
          </c:dPt>
          <c:dPt>
            <c:idx val="10"/>
            <c:bubble3D val="0"/>
            <c:spPr>
              <a:ln w="57150">
                <a:solidFill>
                  <a:schemeClr val="accent3"/>
                </a:solidFill>
                <a:prstDash val="sysDot"/>
              </a:ln>
            </c:spPr>
            <c:extLst>
              <c:ext xmlns:c16="http://schemas.microsoft.com/office/drawing/2014/chart" uri="{C3380CC4-5D6E-409C-BE32-E72D297353CC}">
                <c16:uniqueId val="{00000003-97EA-4A78-952C-1B72E2D443CB}"/>
              </c:ext>
            </c:extLst>
          </c:dPt>
          <c:cat>
            <c:numRef>
              <c:f>'Gill netters'!$D$2:$N$2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'Gill netters'!$D$24:$N$24</c:f>
              <c:numCache>
                <c:formatCode>#,##0.00</c:formatCode>
                <c:ptCount val="11"/>
                <c:pt idx="0">
                  <c:v>2.5246871946750402</c:v>
                </c:pt>
                <c:pt idx="1">
                  <c:v>0.63923866160341203</c:v>
                </c:pt>
                <c:pt idx="2">
                  <c:v>2.2768458038222099</c:v>
                </c:pt>
                <c:pt idx="3">
                  <c:v>0.96321827788997205</c:v>
                </c:pt>
                <c:pt idx="4">
                  <c:v>2.5577878725215699</c:v>
                </c:pt>
                <c:pt idx="5">
                  <c:v>3.0700608940459899</c:v>
                </c:pt>
                <c:pt idx="6">
                  <c:v>2.0989404262668199</c:v>
                </c:pt>
                <c:pt idx="7">
                  <c:v>1.3085462320127299</c:v>
                </c:pt>
                <c:pt idx="8">
                  <c:v>1.0299336904657801</c:v>
                </c:pt>
                <c:pt idx="9">
                  <c:v>1.6626768537331</c:v>
                </c:pt>
                <c:pt idx="10">
                  <c:v>0.14730266001276324</c:v>
                </c:pt>
              </c:numCache>
            </c:numRef>
          </c:val>
          <c:smooth val="0"/>
          <c:extLst>
            <c:ext xmlns:c16="http://schemas.microsoft.com/office/drawing/2014/chart" uri="{C3380CC4-5D6E-409C-BE32-E72D297353CC}">
              <c16:uniqueId val="{00000004-97EA-4A78-952C-1B72E2D443CB}"/>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netters'!$A$50</c:f>
          <c:strCache>
            <c:ptCount val="1"/>
            <c:pt idx="0">
              <c:v>Average price per tonne landed (£)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B481-47EF-9B91-879D03C3BF85}"/>
              </c:ext>
            </c:extLst>
          </c:dPt>
          <c:dPt>
            <c:idx val="10"/>
            <c:bubble3D val="0"/>
            <c:spPr>
              <a:ln w="57150">
                <a:solidFill>
                  <a:schemeClr val="accent4"/>
                </a:solidFill>
                <a:prstDash val="sysDot"/>
              </a:ln>
            </c:spPr>
            <c:extLst>
              <c:ext xmlns:c16="http://schemas.microsoft.com/office/drawing/2014/chart" uri="{C3380CC4-5D6E-409C-BE32-E72D297353CC}">
                <c16:uniqueId val="{00000003-B481-47EF-9B91-879D03C3BF85}"/>
              </c:ext>
            </c:extLst>
          </c:dPt>
          <c:cat>
            <c:numRef>
              <c:f>'Gill netters'!$D$2:$M$2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'Gill netters'!$D$20:$N$20</c:f>
              <c:numCache>
                <c:formatCode>#,##0</c:formatCode>
                <c:ptCount val="11"/>
                <c:pt idx="0">
                  <c:v>3495</c:v>
                </c:pt>
                <c:pt idx="1">
                  <c:v>2984</c:v>
                </c:pt>
                <c:pt idx="2">
                  <c:v>2572</c:v>
                </c:pt>
                <c:pt idx="3">
                  <c:v>2197</c:v>
                </c:pt>
                <c:pt idx="4">
                  <c:v>2481</c:v>
                </c:pt>
                <c:pt idx="5">
                  <c:v>2501</c:v>
                </c:pt>
                <c:pt idx="6">
                  <c:v>2519</c:v>
                </c:pt>
                <c:pt idx="7">
                  <c:v>2020</c:v>
                </c:pt>
                <c:pt idx="8">
                  <c:v>1868</c:v>
                </c:pt>
                <c:pt idx="9">
                  <c:v>2542</c:v>
                </c:pt>
                <c:pt idx="10">
                  <c:v>1738</c:v>
                </c:pt>
              </c:numCache>
            </c:numRef>
          </c:val>
          <c:smooth val="0"/>
          <c:extLst>
            <c:ext xmlns:c16="http://schemas.microsoft.com/office/drawing/2014/chart" uri="{C3380CC4-5D6E-409C-BE32-E72D297353CC}">
              <c16:uniqueId val="{00000004-B481-47EF-9B91-879D03C3BF85}"/>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netters'!$K$62</c:f>
          <c:strCache>
            <c:ptCount val="1"/>
            <c:pt idx="0">
              <c:v>Average annual operating profit per vessel (£'000)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E427-44C5-AD4E-FABB0131DE56}"/>
              </c:ext>
            </c:extLst>
          </c:dPt>
          <c:dPt>
            <c:idx val="10"/>
            <c:bubble3D val="0"/>
            <c:spPr>
              <a:ln w="57150">
                <a:solidFill>
                  <a:schemeClr val="accent5"/>
                </a:solidFill>
                <a:prstDash val="sysDot"/>
              </a:ln>
            </c:spPr>
            <c:extLst>
              <c:ext xmlns:c16="http://schemas.microsoft.com/office/drawing/2014/chart" uri="{C3380CC4-5D6E-409C-BE32-E72D297353CC}">
                <c16:uniqueId val="{00000003-E427-44C5-AD4E-FABB0131DE56}"/>
              </c:ext>
            </c:extLst>
          </c:dPt>
          <c:cat>
            <c:numRef>
              <c:f>'Gill netters'!$D$2:$M$2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'Gill netters'!$D$37:$N$37</c:f>
              <c:numCache>
                <c:formatCode>#,##0.0</c:formatCode>
                <c:ptCount val="11"/>
                <c:pt idx="0">
                  <c:v>139.30000000000001</c:v>
                </c:pt>
                <c:pt idx="1">
                  <c:v>38.200000000000003</c:v>
                </c:pt>
                <c:pt idx="2">
                  <c:v>135.6</c:v>
                </c:pt>
                <c:pt idx="3">
                  <c:v>63.7</c:v>
                </c:pt>
                <c:pt idx="4">
                  <c:v>164</c:v>
                </c:pt>
                <c:pt idx="5">
                  <c:v>212.4</c:v>
                </c:pt>
                <c:pt idx="6">
                  <c:v>138.1</c:v>
                </c:pt>
                <c:pt idx="7">
                  <c:v>74.099999999999994</c:v>
                </c:pt>
                <c:pt idx="8">
                  <c:v>64.900000000000006</c:v>
                </c:pt>
                <c:pt idx="9">
                  <c:v>100.4</c:v>
                </c:pt>
                <c:pt idx="10">
                  <c:v>9.5</c:v>
                </c:pt>
              </c:numCache>
            </c:numRef>
          </c:val>
          <c:smooth val="0"/>
          <c:extLst>
            <c:ext xmlns:c16="http://schemas.microsoft.com/office/drawing/2014/chart" uri="{C3380CC4-5D6E-409C-BE32-E72D297353CC}">
              <c16:uniqueId val="{00000004-E427-44C5-AD4E-FABB0131DE56}"/>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'Gill netters'!$A$76</c:f>
          <c:strCache>
            <c:ptCount val="1"/>
            <c:pt idx="0">
              <c:v>Top 5 landed species by volume in 2019
Gill netters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62F5-481B-8BD6-0297C16876B1}"/>
              </c:ext>
            </c:extLst>
          </c:dPt>
          <c:dPt>
            <c:idx val="1"/>
            <c:bubble3D val="0"/>
            <c:spPr>
              <a:solidFill>
                <a:srgbClr val="E87308"/>
              </a:solidFill>
              <a:ln>
                <a:solidFill>
                  <a:srgbClr val="FFFFFF"/>
                </a:solidFill>
              </a:ln>
            </c:spPr>
            <c:extLst>
              <c:ext xmlns:c16="http://schemas.microsoft.com/office/drawing/2014/chart" uri="{C3380CC4-5D6E-409C-BE32-E72D297353CC}">
                <c16:uniqueId val="{00000003-62F5-481B-8BD6-0297C16876B1}"/>
              </c:ext>
            </c:extLst>
          </c:dPt>
          <c:dPt>
            <c:idx val="2"/>
            <c:bubble3D val="0"/>
            <c:spPr>
              <a:solidFill>
                <a:srgbClr val="E84A38"/>
              </a:solidFill>
              <a:ln>
                <a:solidFill>
                  <a:srgbClr val="FFFFFF"/>
                </a:solidFill>
              </a:ln>
            </c:spPr>
            <c:extLst>
              <c:ext xmlns:c16="http://schemas.microsoft.com/office/drawing/2014/chart" uri="{C3380CC4-5D6E-409C-BE32-E72D297353CC}">
                <c16:uniqueId val="{00000005-62F5-481B-8BD6-0297C16876B1}"/>
              </c:ext>
            </c:extLst>
          </c:dPt>
          <c:dPt>
            <c:idx val="3"/>
            <c:bubble3D val="0"/>
            <c:spPr>
              <a:solidFill>
                <a:srgbClr val="C1D119"/>
              </a:solidFill>
              <a:ln>
                <a:solidFill>
                  <a:srgbClr val="FFFFFF"/>
                </a:solidFill>
              </a:ln>
            </c:spPr>
            <c:extLst>
              <c:ext xmlns:c16="http://schemas.microsoft.com/office/drawing/2014/chart" uri="{C3380CC4-5D6E-409C-BE32-E72D297353CC}">
                <c16:uniqueId val="{00000007-62F5-481B-8BD6-0297C16876B1}"/>
              </c:ext>
            </c:extLst>
          </c:dPt>
          <c:dPt>
            <c:idx val="4"/>
            <c:bubble3D val="0"/>
            <c:spPr>
              <a:solidFill>
                <a:srgbClr val="0F9AA9"/>
              </a:solidFill>
              <a:ln>
                <a:solidFill>
                  <a:srgbClr val="FFFFFF"/>
                </a:solidFill>
              </a:ln>
            </c:spPr>
            <c:extLst>
              <c:ext xmlns:c16="http://schemas.microsoft.com/office/drawing/2014/chart" uri="{C3380CC4-5D6E-409C-BE32-E72D297353CC}">
                <c16:uniqueId val="{00000009-62F5-481B-8BD6-0297C16876B1}"/>
              </c:ext>
            </c:extLst>
          </c:dPt>
          <c:dPt>
            <c:idx val="5"/>
            <c:bubble3D val="0"/>
            <c:spPr>
              <a:solidFill>
                <a:srgbClr val="55585A"/>
              </a:solidFill>
              <a:ln>
                <a:solidFill>
                  <a:srgbClr val="FFFFFF"/>
                </a:solidFill>
              </a:ln>
            </c:spPr>
            <c:extLst>
              <c:ext xmlns:c16="http://schemas.microsoft.com/office/drawing/2014/chart" uri="{C3380CC4-5D6E-409C-BE32-E72D297353CC}">
                <c16:uniqueId val="{0000000B-62F5-481B-8BD6-0297C16876B1}"/>
              </c:ext>
            </c:extLst>
          </c:dPt>
          <c:cat>
            <c:strRef>
              <c:f>'Gill netters'!$B$77:$B$82</c:f>
              <c:strCache>
                <c:ptCount val="6"/>
                <c:pt idx="0">
                  <c:v>Anglerfish - 42.2%</c:v>
                </c:pt>
                <c:pt idx="1">
                  <c:v>Hake - 26.9%</c:v>
                </c:pt>
                <c:pt idx="2">
                  <c:v>Pilchards - 16.7%</c:v>
                </c:pt>
                <c:pt idx="3">
                  <c:v>Pollack - 5.0%</c:v>
                </c:pt>
                <c:pt idx="4">
                  <c:v>Haddock - 1.2%</c:v>
                </c:pt>
                <c:pt idx="5">
                  <c:v>Others - 8.1%</c:v>
                </c:pt>
              </c:strCache>
            </c:strRef>
          </c:cat>
          <c:val>
            <c:numRef>
              <c:f>'Gill netters'!$C$77:$C$82</c:f>
              <c:numCache>
                <c:formatCode>0.0%</c:formatCode>
                <c:ptCount val="6"/>
                <c:pt idx="0">
                  <c:v>0.42203033190454908</c:v>
                </c:pt>
                <c:pt idx="1">
                  <c:v>0.26892265253584557</c:v>
                </c:pt>
                <c:pt idx="2">
                  <c:v>0.1671462386338719</c:v>
                </c:pt>
                <c:pt idx="3">
                  <c:v>4.9574525380606888E-2</c:v>
                </c:pt>
                <c:pt idx="4">
                  <c:v>1.1794322258694272E-2</c:v>
                </c:pt>
                <c:pt idx="5">
                  <c:v>8.0531929286432269E-2</c:v>
                </c:pt>
              </c:numCache>
            </c:numRef>
          </c:val>
          <c:extLst>
            <c:ext xmlns:c16="http://schemas.microsoft.com/office/drawing/2014/chart" uri="{C3380CC4-5D6E-409C-BE32-E72D297353CC}">
              <c16:uniqueId val="{0000000C-62F5-481B-8BD6-0297C16876B1}"/>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'Gill netters'!$F$76</c:f>
          <c:strCache>
            <c:ptCount val="1"/>
            <c:pt idx="0">
              <c:v>Top 5 landed species by value in 2019
Gill netters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66F9-40ED-9DC1-13D286D1A57E}"/>
              </c:ext>
            </c:extLst>
          </c:dPt>
          <c:dPt>
            <c:idx val="1"/>
            <c:bubble3D val="0"/>
            <c:spPr>
              <a:solidFill>
                <a:srgbClr val="E87308"/>
              </a:solidFill>
              <a:ln>
                <a:solidFill>
                  <a:srgbClr val="FFFFFF"/>
                </a:solidFill>
              </a:ln>
            </c:spPr>
            <c:extLst>
              <c:ext xmlns:c16="http://schemas.microsoft.com/office/drawing/2014/chart" uri="{C3380CC4-5D6E-409C-BE32-E72D297353CC}">
                <c16:uniqueId val="{00000003-66F9-40ED-9DC1-13D286D1A57E}"/>
              </c:ext>
            </c:extLst>
          </c:dPt>
          <c:dPt>
            <c:idx val="2"/>
            <c:bubble3D val="0"/>
            <c:spPr>
              <a:solidFill>
                <a:srgbClr val="648C2E"/>
              </a:solidFill>
              <a:ln>
                <a:solidFill>
                  <a:srgbClr val="FFFFFF"/>
                </a:solidFill>
              </a:ln>
            </c:spPr>
            <c:extLst>
              <c:ext xmlns:c16="http://schemas.microsoft.com/office/drawing/2014/chart" uri="{C3380CC4-5D6E-409C-BE32-E72D297353CC}">
                <c16:uniqueId val="{00000005-66F9-40ED-9DC1-13D286D1A57E}"/>
              </c:ext>
            </c:extLst>
          </c:dPt>
          <c:dPt>
            <c:idx val="3"/>
            <c:bubble3D val="0"/>
            <c:spPr>
              <a:solidFill>
                <a:srgbClr val="C1D119"/>
              </a:solidFill>
              <a:ln>
                <a:solidFill>
                  <a:srgbClr val="FFFFFF"/>
                </a:solidFill>
              </a:ln>
            </c:spPr>
            <c:extLst>
              <c:ext xmlns:c16="http://schemas.microsoft.com/office/drawing/2014/chart" uri="{C3380CC4-5D6E-409C-BE32-E72D297353CC}">
                <c16:uniqueId val="{00000007-66F9-40ED-9DC1-13D286D1A57E}"/>
              </c:ext>
            </c:extLst>
          </c:dPt>
          <c:dPt>
            <c:idx val="4"/>
            <c:bubble3D val="0"/>
            <c:spPr>
              <a:solidFill>
                <a:srgbClr val="E84A38"/>
              </a:solidFill>
              <a:ln>
                <a:solidFill>
                  <a:srgbClr val="FFFFFF"/>
                </a:solidFill>
              </a:ln>
            </c:spPr>
            <c:extLst>
              <c:ext xmlns:c16="http://schemas.microsoft.com/office/drawing/2014/chart" uri="{C3380CC4-5D6E-409C-BE32-E72D297353CC}">
                <c16:uniqueId val="{00000009-66F9-40ED-9DC1-13D286D1A57E}"/>
              </c:ext>
            </c:extLst>
          </c:dPt>
          <c:dPt>
            <c:idx val="5"/>
            <c:bubble3D val="0"/>
            <c:spPr>
              <a:solidFill>
                <a:srgbClr val="55585A"/>
              </a:solidFill>
              <a:ln>
                <a:solidFill>
                  <a:srgbClr val="FFFFFF"/>
                </a:solidFill>
              </a:ln>
            </c:spPr>
            <c:extLst>
              <c:ext xmlns:c16="http://schemas.microsoft.com/office/drawing/2014/chart" uri="{C3380CC4-5D6E-409C-BE32-E72D297353CC}">
                <c16:uniqueId val="{0000000B-66F9-40ED-9DC1-13D286D1A57E}"/>
              </c:ext>
            </c:extLst>
          </c:dPt>
          <c:cat>
            <c:strRef>
              <c:f>'Gill netters'!$G$77:$G$82</c:f>
              <c:strCache>
                <c:ptCount val="6"/>
                <c:pt idx="0">
                  <c:v>Anglerfish - 50.2%</c:v>
                </c:pt>
                <c:pt idx="1">
                  <c:v>Hake - 33.6%</c:v>
                </c:pt>
                <c:pt idx="2">
                  <c:v>Turbot - 3.9%</c:v>
                </c:pt>
                <c:pt idx="3">
                  <c:v>Pollack - 3.1%</c:v>
                </c:pt>
                <c:pt idx="4">
                  <c:v>Pilchards - 2.2%</c:v>
                </c:pt>
                <c:pt idx="5">
                  <c:v>Others - 7.0%</c:v>
                </c:pt>
              </c:strCache>
            </c:strRef>
          </c:cat>
          <c:val>
            <c:numRef>
              <c:f>'Gill netters'!$H$77:$H$82</c:f>
              <c:numCache>
                <c:formatCode>0.0%</c:formatCode>
                <c:ptCount val="6"/>
                <c:pt idx="0">
                  <c:v>0.50237465013106042</c:v>
                </c:pt>
                <c:pt idx="1">
                  <c:v>0.33581712926961754</c:v>
                </c:pt>
                <c:pt idx="2">
                  <c:v>3.9212735445547618E-2</c:v>
                </c:pt>
                <c:pt idx="3">
                  <c:v>3.0681379718926597E-2</c:v>
                </c:pt>
                <c:pt idx="4">
                  <c:v>2.1975852948329128E-2</c:v>
                </c:pt>
                <c:pt idx="5">
                  <c:v>6.9938252486518748E-2</c:v>
                </c:pt>
              </c:numCache>
            </c:numRef>
          </c:val>
          <c:extLst>
            <c:ext xmlns:c16="http://schemas.microsoft.com/office/drawing/2014/chart" uri="{C3380CC4-5D6E-409C-BE32-E72D297353CC}">
              <c16:uniqueId val="{0000000C-66F9-40ED-9DC1-13D286D1A57E}"/>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'Gill netters'!$K$77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'Gill netters'!$C$92</c:f>
              <c:strCache>
                <c:ptCount val="1"/>
                <c:pt idx="0">
                  <c:v>Anglerfish</c:v>
                </c:pt>
              </c:strCache>
            </c:strRef>
          </c:tx>
          <c:spPr>
            <a:solidFill>
              <a:srgbClr val="2273B9"/>
            </a:solidFill>
            <a:ln>
              <a:solidFill>
                <a:srgbClr val="FFFFFF"/>
              </a:solidFill>
            </a:ln>
          </c:spPr>
          <c:invertIfNegative val="0"/>
          <c:cat>
            <c:numRef>
              <c:f>'Gill netters'!$D$91:$M$91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'Gill netters'!$D$92:$M$92</c:f>
              <c:numCache>
                <c:formatCode>0%</c:formatCode>
                <c:ptCount val="10"/>
                <c:pt idx="0">
                  <c:v>0.56217144350060921</c:v>
                </c:pt>
                <c:pt idx="1">
                  <c:v>0.57545101582194691</c:v>
                </c:pt>
                <c:pt idx="2">
                  <c:v>0.50116003545755916</c:v>
                </c:pt>
                <c:pt idx="3">
                  <c:v>0.5264204761957747</c:v>
                </c:pt>
                <c:pt idx="4">
                  <c:v>0.53102206261319262</c:v>
                </c:pt>
                <c:pt idx="5">
                  <c:v>0.50246725849183882</c:v>
                </c:pt>
                <c:pt idx="6">
                  <c:v>0.43498323178678439</c:v>
                </c:pt>
                <c:pt idx="7">
                  <c:v>0.39245515808732206</c:v>
                </c:pt>
                <c:pt idx="8">
                  <c:v>0.50237465013106042</c:v>
                </c:pt>
                <c:pt idx="9">
                  <c:v>0.45616524978771328</c:v>
                </c:pt>
              </c:numCache>
            </c:numRef>
          </c:val>
          <c:extLst>
            <c:ext xmlns:c16="http://schemas.microsoft.com/office/drawing/2014/chart" uri="{C3380CC4-5D6E-409C-BE32-E72D297353CC}">
              <c16:uniqueId val="{00000000-C469-417E-BF25-061893216DF7}"/>
            </c:ext>
          </c:extLst>
        </c:ser>
        <c:ser>
          <c:idx val="1"/>
          <c:order val="1"/>
          <c:tx>
            <c:strRef>
              <c:f>'Gill netters'!$C$93</c:f>
              <c:strCache>
                <c:ptCount val="1"/>
                <c:pt idx="0">
                  <c:v>Hake</c:v>
                </c:pt>
              </c:strCache>
            </c:strRef>
          </c:tx>
          <c:spPr>
            <a:solidFill>
              <a:srgbClr val="E87308"/>
            </a:solidFill>
            <a:ln>
              <a:solidFill>
                <a:srgbClr val="FFFFFF"/>
              </a:solidFill>
            </a:ln>
          </c:spPr>
          <c:invertIfNegative val="0"/>
          <c:cat>
            <c:numRef>
              <c:f>'Gill netters'!$D$91:$M$91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'Gill netters'!$D$93:$M$93</c:f>
              <c:numCache>
                <c:formatCode>0%</c:formatCode>
                <c:ptCount val="10"/>
                <c:pt idx="0">
                  <c:v>3.710032328858421E-2</c:v>
                </c:pt>
                <c:pt idx="1">
                  <c:v>6.5611814848101926E-2</c:v>
                </c:pt>
                <c:pt idx="2">
                  <c:v>0.13999365104237649</c:v>
                </c:pt>
                <c:pt idx="3">
                  <c:v>0.11614284088730938</c:v>
                </c:pt>
                <c:pt idx="4">
                  <c:v>0.17386423956225144</c:v>
                </c:pt>
                <c:pt idx="5">
                  <c:v>0.15024753196050067</c:v>
                </c:pt>
                <c:pt idx="6">
                  <c:v>0.26114922089122727</c:v>
                </c:pt>
                <c:pt idx="7">
                  <c:v>0.36356795311225626</c:v>
                </c:pt>
                <c:pt idx="8">
                  <c:v>0.33581712926961754</c:v>
                </c:pt>
                <c:pt idx="9">
                  <c:v>0.27852660806601864</c:v>
                </c:pt>
              </c:numCache>
            </c:numRef>
          </c:val>
          <c:extLst>
            <c:ext xmlns:c16="http://schemas.microsoft.com/office/drawing/2014/chart" uri="{C3380CC4-5D6E-409C-BE32-E72D297353CC}">
              <c16:uniqueId val="{00000001-C469-417E-BF25-061893216DF7}"/>
            </c:ext>
          </c:extLst>
        </c:ser>
        <c:ser>
          <c:idx val="2"/>
          <c:order val="2"/>
          <c:tx>
            <c:strRef>
              <c:f>'Gill netters'!$C$94</c:f>
              <c:strCache>
                <c:ptCount val="1"/>
                <c:pt idx="0">
                  <c:v>Turbot</c:v>
                </c:pt>
              </c:strCache>
            </c:strRef>
          </c:tx>
          <c:spPr>
            <a:solidFill>
              <a:srgbClr val="648C2E"/>
            </a:solidFill>
            <a:ln>
              <a:solidFill>
                <a:srgbClr val="FFFFFF"/>
              </a:solidFill>
            </a:ln>
          </c:spPr>
          <c:invertIfNegative val="0"/>
          <c:cat>
            <c:numRef>
              <c:f>'Gill netters'!$D$91:$M$91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'Gill netters'!$D$94:$M$94</c:f>
              <c:numCache>
                <c:formatCode>0%</c:formatCode>
                <c:ptCount val="10"/>
                <c:pt idx="0">
                  <c:v>7.3146774832734629E-2</c:v>
                </c:pt>
                <c:pt idx="1">
                  <c:v>5.0010328821231007E-2</c:v>
                </c:pt>
                <c:pt idx="2">
                  <c:v>4.6203385419087896E-2</c:v>
                </c:pt>
                <c:pt idx="3">
                  <c:v>5.7566587462359937E-2</c:v>
                </c:pt>
                <c:pt idx="4">
                  <c:v>7.4084531282658544E-2</c:v>
                </c:pt>
                <c:pt idx="5">
                  <c:v>6.2957726183678231E-2</c:v>
                </c:pt>
                <c:pt idx="6">
                  <c:v>7.7523907466365657E-2</c:v>
                </c:pt>
                <c:pt idx="7">
                  <c:v>5.2389363514394251E-2</c:v>
                </c:pt>
                <c:pt idx="8">
                  <c:v>3.9212735445547618E-2</c:v>
                </c:pt>
                <c:pt idx="9">
                  <c:v>3.0707684245313012E-2</c:v>
                </c:pt>
              </c:numCache>
            </c:numRef>
          </c:val>
          <c:extLst>
            <c:ext xmlns:c16="http://schemas.microsoft.com/office/drawing/2014/chart" uri="{C3380CC4-5D6E-409C-BE32-E72D297353CC}">
              <c16:uniqueId val="{00000002-C469-417E-BF25-061893216DF7}"/>
            </c:ext>
          </c:extLst>
        </c:ser>
        <c:ser>
          <c:idx val="3"/>
          <c:order val="3"/>
          <c:tx>
            <c:strRef>
              <c:f>'Gill netters'!$C$95</c:f>
              <c:strCache>
                <c:ptCount val="1"/>
                <c:pt idx="0">
                  <c:v>Pollack</c:v>
                </c:pt>
              </c:strCache>
            </c:strRef>
          </c:tx>
          <c:spPr>
            <a:solidFill>
              <a:srgbClr val="C1D119"/>
            </a:solidFill>
            <a:ln>
              <a:solidFill>
                <a:srgbClr val="FFFFFF"/>
              </a:solidFill>
            </a:ln>
          </c:spPr>
          <c:invertIfNegative val="0"/>
          <c:cat>
            <c:numRef>
              <c:f>'Gill netters'!$D$91:$M$91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'Gill netters'!$D$95:$M$95</c:f>
              <c:numCache>
                <c:formatCode>0%</c:formatCode>
                <c:ptCount val="10"/>
                <c:pt idx="0">
                  <c:v>0.14422191482794985</c:v>
                </c:pt>
                <c:pt idx="1">
                  <c:v>0.12701210956048822</c:v>
                </c:pt>
                <c:pt idx="2">
                  <c:v>0.12690128575604356</c:v>
                </c:pt>
                <c:pt idx="3">
                  <c:v>8.9997113815497076E-2</c:v>
                </c:pt>
                <c:pt idx="4">
                  <c:v>0.10451047323682797</c:v>
                </c:pt>
                <c:pt idx="5">
                  <c:v>0.13816913933642477</c:v>
                </c:pt>
                <c:pt idx="6">
                  <c:v>8.3623613441905359E-2</c:v>
                </c:pt>
                <c:pt idx="7">
                  <c:v>5.3129253089279786E-2</c:v>
                </c:pt>
                <c:pt idx="8">
                  <c:v>3.0681379718926597E-2</c:v>
                </c:pt>
                <c:pt idx="9">
                  <c:v>8.7168961515929635E-2</c:v>
                </c:pt>
              </c:numCache>
            </c:numRef>
          </c:val>
          <c:extLst>
            <c:ext xmlns:c16="http://schemas.microsoft.com/office/drawing/2014/chart" uri="{C3380CC4-5D6E-409C-BE32-E72D297353CC}">
              <c16:uniqueId val="{00000003-C469-417E-BF25-061893216DF7}"/>
            </c:ext>
          </c:extLst>
        </c:ser>
        <c:ser>
          <c:idx val="4"/>
          <c:order val="4"/>
          <c:tx>
            <c:strRef>
              <c:f>'Gill netters'!$C$96</c:f>
              <c:strCache>
                <c:ptCount val="1"/>
                <c:pt idx="0">
                  <c:v>Pilchards</c:v>
                </c:pt>
              </c:strCache>
            </c:strRef>
          </c:tx>
          <c:spPr>
            <a:solidFill>
              <a:srgbClr val="E84A38"/>
            </a:solidFill>
            <a:ln>
              <a:solidFill>
                <a:srgbClr val="FFFFFF"/>
              </a:solidFill>
            </a:ln>
          </c:spPr>
          <c:invertIfNegative val="0"/>
          <c:cat>
            <c:numRef>
              <c:f>'Gill netters'!$D$91:$M$91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'Gill netters'!$D$96:$M$96</c:f>
              <c:numCache>
                <c:formatCode>0%</c:formatCode>
                <c:ptCount val="10"/>
                <c:pt idx="2">
                  <c:v>4.9621307553054245E-2</c:v>
                </c:pt>
                <c:pt idx="4">
                  <c:v>2.1254795697274315E-2</c:v>
                </c:pt>
                <c:pt idx="6">
                  <c:v>3.3742581017777599E-2</c:v>
                </c:pt>
                <c:pt idx="7">
                  <c:v>4.4981469394183744E-2</c:v>
                </c:pt>
                <c:pt idx="8">
                  <c:v>2.1975852948329128E-2</c:v>
                </c:pt>
                <c:pt idx="9">
                  <c:v>5.0525740010655067E-2</c:v>
                </c:pt>
              </c:numCache>
            </c:numRef>
          </c:val>
          <c:extLst>
            <c:ext xmlns:c16="http://schemas.microsoft.com/office/drawing/2014/chart" uri="{C3380CC4-5D6E-409C-BE32-E72D297353CC}">
              <c16:uniqueId val="{00000004-C469-417E-BF25-061893216DF7}"/>
            </c:ext>
          </c:extLst>
        </c:ser>
        <c:ser>
          <c:idx val="5"/>
          <c:order val="5"/>
          <c:tx>
            <c:strRef>
              <c:f>'Gill netters'!$C$97</c:f>
              <c:strCache>
                <c:ptCount val="1"/>
                <c:pt idx="0">
                  <c:v>Cod</c:v>
                </c:pt>
              </c:strCache>
            </c:strRef>
          </c:tx>
          <c:spPr>
            <a:solidFill>
              <a:srgbClr val="0F9AA9"/>
            </a:solidFill>
            <a:ln>
              <a:solidFill>
                <a:srgbClr val="FFFFFF"/>
              </a:solidFill>
            </a:ln>
          </c:spPr>
          <c:invertIfNegative val="0"/>
          <c:cat>
            <c:numRef>
              <c:f>'Gill netters'!$D$91:$M$91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'Gill netters'!$D$97:$M$97</c:f>
              <c:numCache>
                <c:formatCode>0%</c:formatCode>
                <c:ptCount val="10"/>
                <c:pt idx="0">
                  <c:v>4.2084012088247233E-2</c:v>
                </c:pt>
                <c:pt idx="1">
                  <c:v>4.6716316234309892E-2</c:v>
                </c:pt>
                <c:pt idx="5">
                  <c:v>2.6820950027011702E-2</c:v>
                </c:pt>
              </c:numCache>
            </c:numRef>
          </c:val>
          <c:extLst>
            <c:ext xmlns:c16="http://schemas.microsoft.com/office/drawing/2014/chart" uri="{C3380CC4-5D6E-409C-BE32-E72D297353CC}">
              <c16:uniqueId val="{00000005-C469-417E-BF25-061893216DF7}"/>
            </c:ext>
          </c:extLst>
        </c:ser>
        <c:ser>
          <c:idx val="6"/>
          <c:order val="6"/>
          <c:tx>
            <c:strRef>
              <c:f>'Gill netters'!$C$98</c:f>
              <c:strCache>
                <c:ptCount val="1"/>
                <c:pt idx="0">
                  <c:v>Plaice</c:v>
                </c:pt>
              </c:strCache>
            </c:strRef>
          </c:tx>
          <c:spPr>
            <a:solidFill>
              <a:srgbClr val="FED825"/>
            </a:solidFill>
            <a:ln>
              <a:solidFill>
                <a:srgbClr val="FFFFFF"/>
              </a:solidFill>
            </a:ln>
          </c:spPr>
          <c:invertIfNegative val="0"/>
          <c:cat>
            <c:numRef>
              <c:f>'Gill netters'!$D$91:$M$91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'Gill netters'!$D$98:$M$98</c:f>
              <c:numCache>
                <c:formatCode>0%</c:formatCode>
                <c:ptCount val="10"/>
                <c:pt idx="3">
                  <c:v>3.5113066632180112E-2</c:v>
                </c:pt>
              </c:numCache>
            </c:numRef>
          </c:val>
          <c:extLst>
            <c:ext xmlns:c16="http://schemas.microsoft.com/office/drawing/2014/chart" uri="{C3380CC4-5D6E-409C-BE32-E72D297353CC}">
              <c16:uniqueId val="{00000006-C469-417E-BF25-061893216DF7}"/>
            </c:ext>
          </c:extLst>
        </c:ser>
        <c:ser>
          <c:idx val="7"/>
          <c:order val="7"/>
          <c:tx>
            <c:strRef>
              <c:f>'Gill netters'!$C$99</c:f>
              <c:strCache>
                <c:ptCount val="1"/>
                <c:pt idx="0">
                  <c:v>Others</c:v>
                </c:pt>
              </c:strCache>
            </c:strRef>
          </c:tx>
          <c:spPr>
            <a:solidFill>
              <a:srgbClr val="55585A"/>
            </a:solidFill>
            <a:ln>
              <a:solidFill>
                <a:srgbClr val="FFFFFF"/>
              </a:solidFill>
            </a:ln>
          </c:spPr>
          <c:invertIfNegative val="0"/>
          <c:cat>
            <c:numRef>
              <c:f>'Gill netters'!$D$91:$M$91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'Gill netters'!$D$99:$M$99</c:f>
              <c:numCache>
                <c:formatCode>0%</c:formatCode>
                <c:ptCount val="10"/>
                <c:pt idx="0">
                  <c:v>0.1412755314618748</c:v>
                </c:pt>
                <c:pt idx="1">
                  <c:v>0.13519841471392205</c:v>
                </c:pt>
                <c:pt idx="2">
                  <c:v>0.1361203347718786</c:v>
                </c:pt>
                <c:pt idx="3">
                  <c:v>0.17475991500687876</c:v>
                </c:pt>
                <c:pt idx="4">
                  <c:v>9.526389760779512E-2</c:v>
                </c:pt>
                <c:pt idx="5">
                  <c:v>0.11933739400054581</c:v>
                </c:pt>
                <c:pt idx="6">
                  <c:v>0.1089774453959397</c:v>
                </c:pt>
                <c:pt idx="7">
                  <c:v>9.3476802802563902E-2</c:v>
                </c:pt>
                <c:pt idx="8">
                  <c:v>6.9938252486518721E-2</c:v>
                </c:pt>
                <c:pt idx="9">
                  <c:v>9.6905756374370378E-2</c:v>
                </c:pt>
              </c:numCache>
            </c:numRef>
          </c:val>
          <c:extLst>
            <c:ext xmlns:c16="http://schemas.microsoft.com/office/drawing/2014/chart" uri="{C3380CC4-5D6E-409C-BE32-E72D297353CC}">
              <c16:uniqueId val="{00000007-C469-417E-BF25-061893216DF7}"/>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demersal trawl'!$A$76</c:f>
          <c:strCache>
            <c:ptCount val="1"/>
            <c:pt idx="0">
              <c:v>Top 5 landed species by volume in 2019
Area VIIA demersal trawl</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D652-4B06-98DA-518A38AF33F1}"/>
              </c:ext>
            </c:extLst>
          </c:dPt>
          <c:dPt>
            <c:idx val="1"/>
            <c:bubble3D val="0"/>
            <c:spPr>
              <a:solidFill>
                <a:srgbClr val="E87308"/>
              </a:solidFill>
              <a:ln>
                <a:solidFill>
                  <a:srgbClr val="FFFFFF"/>
                </a:solidFill>
              </a:ln>
            </c:spPr>
            <c:extLst>
              <c:ext xmlns:c16="http://schemas.microsoft.com/office/drawing/2014/chart" uri="{C3380CC4-5D6E-409C-BE32-E72D297353CC}">
                <c16:uniqueId val="{00000003-D652-4B06-98DA-518A38AF33F1}"/>
              </c:ext>
            </c:extLst>
          </c:dPt>
          <c:dPt>
            <c:idx val="2"/>
            <c:bubble3D val="0"/>
            <c:spPr>
              <a:solidFill>
                <a:srgbClr val="648C2E"/>
              </a:solidFill>
              <a:ln>
                <a:solidFill>
                  <a:srgbClr val="FFFFFF"/>
                </a:solidFill>
              </a:ln>
            </c:spPr>
            <c:extLst>
              <c:ext xmlns:c16="http://schemas.microsoft.com/office/drawing/2014/chart" uri="{C3380CC4-5D6E-409C-BE32-E72D297353CC}">
                <c16:uniqueId val="{00000005-D652-4B06-98DA-518A38AF33F1}"/>
              </c:ext>
            </c:extLst>
          </c:dPt>
          <c:dPt>
            <c:idx val="3"/>
            <c:bubble3D val="0"/>
            <c:spPr>
              <a:solidFill>
                <a:srgbClr val="0F9AA9"/>
              </a:solidFill>
              <a:ln>
                <a:solidFill>
                  <a:srgbClr val="FFFFFF"/>
                </a:solidFill>
              </a:ln>
            </c:spPr>
            <c:extLst>
              <c:ext xmlns:c16="http://schemas.microsoft.com/office/drawing/2014/chart" uri="{C3380CC4-5D6E-409C-BE32-E72D297353CC}">
                <c16:uniqueId val="{00000007-D652-4B06-98DA-518A38AF33F1}"/>
              </c:ext>
            </c:extLst>
          </c:dPt>
          <c:dPt>
            <c:idx val="4"/>
            <c:bubble3D val="0"/>
            <c:spPr>
              <a:solidFill>
                <a:srgbClr val="E84A38"/>
              </a:solidFill>
              <a:ln>
                <a:solidFill>
                  <a:srgbClr val="FFFFFF"/>
                </a:solidFill>
              </a:ln>
            </c:spPr>
            <c:extLst>
              <c:ext xmlns:c16="http://schemas.microsoft.com/office/drawing/2014/chart" uri="{C3380CC4-5D6E-409C-BE32-E72D297353CC}">
                <c16:uniqueId val="{00000009-D652-4B06-98DA-518A38AF33F1}"/>
              </c:ext>
            </c:extLst>
          </c:dPt>
          <c:dPt>
            <c:idx val="5"/>
            <c:bubble3D val="0"/>
            <c:spPr>
              <a:solidFill>
                <a:srgbClr val="55585A"/>
              </a:solidFill>
              <a:ln>
                <a:solidFill>
                  <a:srgbClr val="FFFFFF"/>
                </a:solidFill>
              </a:ln>
            </c:spPr>
            <c:extLst>
              <c:ext xmlns:c16="http://schemas.microsoft.com/office/drawing/2014/chart" uri="{C3380CC4-5D6E-409C-BE32-E72D297353CC}">
                <c16:uniqueId val="{0000000B-D652-4B06-98DA-518A38AF33F1}"/>
              </c:ext>
            </c:extLst>
          </c:dPt>
          <c:cat>
            <c:strRef>
              <c:f>'Area VIIa demersal trawl'!$B$77:$B$82</c:f>
              <c:strCache>
                <c:ptCount val="6"/>
                <c:pt idx="0">
                  <c:v>Haddock - 52.4%</c:v>
                </c:pt>
                <c:pt idx="1">
                  <c:v>Nephrops - 9.9%</c:v>
                </c:pt>
                <c:pt idx="2">
                  <c:v>Cod - 7.6%</c:v>
                </c:pt>
                <c:pt idx="3">
                  <c:v>Brown Crab - 6.6%</c:v>
                </c:pt>
                <c:pt idx="4">
                  <c:v>Hake - 5.8%</c:v>
                </c:pt>
                <c:pt idx="5">
                  <c:v>Others - 17.7%</c:v>
                </c:pt>
              </c:strCache>
            </c:strRef>
          </c:cat>
          <c:val>
            <c:numRef>
              <c:f>'Area VIIa demersal trawl'!$C$77:$C$82</c:f>
              <c:numCache>
                <c:formatCode>0.0%</c:formatCode>
                <c:ptCount val="6"/>
                <c:pt idx="0">
                  <c:v>0.52377129027718861</c:v>
                </c:pt>
                <c:pt idx="1">
                  <c:v>9.9353342098912972E-2</c:v>
                </c:pt>
                <c:pt idx="2">
                  <c:v>7.5777272788448244E-2</c:v>
                </c:pt>
                <c:pt idx="3">
                  <c:v>6.6085361755816918E-2</c:v>
                </c:pt>
                <c:pt idx="4">
                  <c:v>5.8164956401361607E-2</c:v>
                </c:pt>
                <c:pt idx="5">
                  <c:v>0.17684777667827156</c:v>
                </c:pt>
              </c:numCache>
            </c:numRef>
          </c:val>
          <c:extLst>
            <c:ext xmlns:c16="http://schemas.microsoft.com/office/drawing/2014/chart" uri="{C3380CC4-5D6E-409C-BE32-E72D297353CC}">
              <c16:uniqueId val="{0000000C-D652-4B06-98DA-518A38AF33F1}"/>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'Gill netters'!$B$162</c:f>
              <c:strCache>
                <c:ptCount val="1"/>
                <c:pt idx="0">
                  <c:v>Hake</c:v>
                </c:pt>
              </c:strCache>
            </c:strRef>
          </c:tx>
          <c:spPr>
            <a:solidFill>
              <a:srgbClr val="E87308"/>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netters'!$C$162:$E$162</c:f>
              <c:numCache>
                <c:formatCode>0%</c:formatCode>
                <c:ptCount val="3"/>
                <c:pt idx="0">
                  <c:v>0.16898245298555656</c:v>
                </c:pt>
                <c:pt idx="1">
                  <c:v>0.40440171531177693</c:v>
                </c:pt>
                <c:pt idx="2">
                  <c:v>9.5966605610609587E-2</c:v>
                </c:pt>
              </c:numCache>
            </c:numRef>
          </c:val>
          <c:extLst>
            <c:ext xmlns:c16="http://schemas.microsoft.com/office/drawing/2014/chart" uri="{C3380CC4-5D6E-409C-BE32-E72D297353CC}">
              <c16:uniqueId val="{00000000-EFE7-4E16-877A-27686E537008}"/>
            </c:ext>
          </c:extLst>
        </c:ser>
        <c:ser>
          <c:idx val="1"/>
          <c:order val="1"/>
          <c:tx>
            <c:strRef>
              <c:f>'Gill netters'!$B$163</c:f>
              <c:strCache>
                <c:ptCount val="1"/>
                <c:pt idx="0">
                  <c:v>Pilchards</c:v>
                </c:pt>
              </c:strCache>
            </c:strRef>
          </c:tx>
          <c:spPr>
            <a:solidFill>
              <a:srgbClr val="E84A38"/>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netters'!$C$163:$E$163</c:f>
              <c:numCache>
                <c:formatCode>0%</c:formatCode>
                <c:ptCount val="3"/>
                <c:pt idx="0">
                  <c:v>0</c:v>
                </c:pt>
                <c:pt idx="1">
                  <c:v>0.35119976947518022</c:v>
                </c:pt>
                <c:pt idx="2">
                  <c:v>0</c:v>
                </c:pt>
              </c:numCache>
            </c:numRef>
          </c:val>
          <c:extLst>
            <c:ext xmlns:c16="http://schemas.microsoft.com/office/drawing/2014/chart" uri="{C3380CC4-5D6E-409C-BE32-E72D297353CC}">
              <c16:uniqueId val="{00000001-EFE7-4E16-877A-27686E537008}"/>
            </c:ext>
          </c:extLst>
        </c:ser>
        <c:ser>
          <c:idx val="2"/>
          <c:order val="2"/>
          <c:tx>
            <c:strRef>
              <c:f>'Gill netters'!$B$164</c:f>
              <c:strCache>
                <c:ptCount val="1"/>
                <c:pt idx="0">
                  <c:v>Anglerfish</c:v>
                </c:pt>
              </c:strCache>
            </c:strRef>
          </c:tx>
          <c:spPr>
            <a:solidFill>
              <a:srgbClr val="2273B9"/>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netters'!$C$164:$E$164</c:f>
              <c:numCache>
                <c:formatCode>0%</c:formatCode>
                <c:ptCount val="3"/>
                <c:pt idx="0">
                  <c:v>0.76689128748564783</c:v>
                </c:pt>
                <c:pt idx="1">
                  <c:v>0.12085013898457578</c:v>
                </c:pt>
                <c:pt idx="2">
                  <c:v>0.58232860267575104</c:v>
                </c:pt>
              </c:numCache>
            </c:numRef>
          </c:val>
          <c:extLst>
            <c:ext xmlns:c16="http://schemas.microsoft.com/office/drawing/2014/chart" uri="{C3380CC4-5D6E-409C-BE32-E72D297353CC}">
              <c16:uniqueId val="{00000002-EFE7-4E16-877A-27686E537008}"/>
            </c:ext>
          </c:extLst>
        </c:ser>
        <c:ser>
          <c:idx val="3"/>
          <c:order val="3"/>
          <c:tx>
            <c:strRef>
              <c:f>'Gill netters'!$B$165</c:f>
              <c:strCache>
                <c:ptCount val="1"/>
                <c:pt idx="0">
                  <c:v>Pollack</c:v>
                </c:pt>
              </c:strCache>
            </c:strRef>
          </c:tx>
          <c:spPr>
            <a:solidFill>
              <a:srgbClr val="C1D119"/>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netters'!$C$165:$E$165</c:f>
              <c:numCache>
                <c:formatCode>0%</c:formatCode>
                <c:ptCount val="3"/>
                <c:pt idx="0">
                  <c:v>0</c:v>
                </c:pt>
                <c:pt idx="1">
                  <c:v>4.464320170440688E-2</c:v>
                </c:pt>
                <c:pt idx="2">
                  <c:v>0.21894418152052703</c:v>
                </c:pt>
              </c:numCache>
            </c:numRef>
          </c:val>
          <c:extLst>
            <c:ext xmlns:c16="http://schemas.microsoft.com/office/drawing/2014/chart" uri="{C3380CC4-5D6E-409C-BE32-E72D297353CC}">
              <c16:uniqueId val="{00000003-EFE7-4E16-877A-27686E537008}"/>
            </c:ext>
          </c:extLst>
        </c:ser>
        <c:ser>
          <c:idx val="4"/>
          <c:order val="4"/>
          <c:tx>
            <c:strRef>
              <c:f>'Gill netters'!$B$166</c:f>
              <c:strCache>
                <c:ptCount val="1"/>
                <c:pt idx="0">
                  <c:v>Haddock</c:v>
                </c:pt>
              </c:strCache>
            </c:strRef>
          </c:tx>
          <c:spPr>
            <a:solidFill>
              <a:srgbClr val="0F9AA9"/>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netters'!$C$166:$E$166</c:f>
              <c:numCache>
                <c:formatCode>0%</c:formatCode>
                <c:ptCount val="3"/>
                <c:pt idx="0">
                  <c:v>0</c:v>
                </c:pt>
                <c:pt idx="1">
                  <c:v>1.9670356829366121E-2</c:v>
                </c:pt>
                <c:pt idx="2">
                  <c:v>0</c:v>
                </c:pt>
              </c:numCache>
            </c:numRef>
          </c:val>
          <c:extLst>
            <c:ext xmlns:c16="http://schemas.microsoft.com/office/drawing/2014/chart" uri="{C3380CC4-5D6E-409C-BE32-E72D297353CC}">
              <c16:uniqueId val="{00000004-EFE7-4E16-877A-27686E537008}"/>
            </c:ext>
          </c:extLst>
        </c:ser>
        <c:ser>
          <c:idx val="5"/>
          <c:order val="5"/>
          <c:tx>
            <c:strRef>
              <c:f>'Gill netters'!$B$167</c:f>
              <c:strCache>
                <c:ptCount val="1"/>
                <c:pt idx="0">
                  <c:v>Ling</c:v>
                </c:pt>
              </c:strCache>
            </c:strRef>
          </c:tx>
          <c:spPr>
            <a:solidFill>
              <a:srgbClr val="FED825"/>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netters'!$C$167:$E$167</c:f>
              <c:numCache>
                <c:formatCode>0%</c:formatCode>
                <c:ptCount val="3"/>
                <c:pt idx="0">
                  <c:v>1.4769268230695191E-2</c:v>
                </c:pt>
                <c:pt idx="1">
                  <c:v>0</c:v>
                </c:pt>
                <c:pt idx="2">
                  <c:v>2.0569598279135369E-2</c:v>
                </c:pt>
              </c:numCache>
            </c:numRef>
          </c:val>
          <c:extLst>
            <c:ext xmlns:c16="http://schemas.microsoft.com/office/drawing/2014/chart" uri="{C3380CC4-5D6E-409C-BE32-E72D297353CC}">
              <c16:uniqueId val="{00000005-EFE7-4E16-877A-27686E537008}"/>
            </c:ext>
          </c:extLst>
        </c:ser>
        <c:ser>
          <c:idx val="6"/>
          <c:order val="6"/>
          <c:tx>
            <c:strRef>
              <c:f>'Gill netters'!$B$168</c:f>
              <c:strCache>
                <c:ptCount val="1"/>
                <c:pt idx="0">
                  <c:v>Saithe</c:v>
                </c:pt>
              </c:strCache>
            </c:strRef>
          </c:tx>
          <c:spPr>
            <a:solidFill>
              <a:srgbClr val="707271"/>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netters'!$C$168:$E$168</c:f>
              <c:numCache>
                <c:formatCode>0%</c:formatCode>
                <c:ptCount val="3"/>
                <c:pt idx="0">
                  <c:v>0</c:v>
                </c:pt>
                <c:pt idx="1">
                  <c:v>0</c:v>
                </c:pt>
                <c:pt idx="2">
                  <c:v>1.7929999289128206E-2</c:v>
                </c:pt>
              </c:numCache>
            </c:numRef>
          </c:val>
          <c:extLst>
            <c:ext xmlns:c16="http://schemas.microsoft.com/office/drawing/2014/chart" uri="{C3380CC4-5D6E-409C-BE32-E72D297353CC}">
              <c16:uniqueId val="{00000006-EFE7-4E16-877A-27686E537008}"/>
            </c:ext>
          </c:extLst>
        </c:ser>
        <c:ser>
          <c:idx val="7"/>
          <c:order val="7"/>
          <c:tx>
            <c:strRef>
              <c:f>'Gill netters'!$B$169</c:f>
              <c:strCache>
                <c:ptCount val="1"/>
                <c:pt idx="0">
                  <c:v>Thornback Ray</c:v>
                </c:pt>
              </c:strCache>
            </c:strRef>
          </c:tx>
          <c:spPr>
            <a:solidFill>
              <a:srgbClr val="169FDB"/>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netters'!$C$169:$E$169</c:f>
              <c:numCache>
                <c:formatCode>0%</c:formatCode>
                <c:ptCount val="3"/>
                <c:pt idx="0">
                  <c:v>6.8140226151129366E-3</c:v>
                </c:pt>
                <c:pt idx="1">
                  <c:v>0</c:v>
                </c:pt>
                <c:pt idx="2">
                  <c:v>0</c:v>
                </c:pt>
              </c:numCache>
            </c:numRef>
          </c:val>
          <c:extLst>
            <c:ext xmlns:c16="http://schemas.microsoft.com/office/drawing/2014/chart" uri="{C3380CC4-5D6E-409C-BE32-E72D297353CC}">
              <c16:uniqueId val="{00000007-EFE7-4E16-877A-27686E537008}"/>
            </c:ext>
          </c:extLst>
        </c:ser>
        <c:ser>
          <c:idx val="8"/>
          <c:order val="8"/>
          <c:tx>
            <c:strRef>
              <c:f>'Gill netters'!$B$170</c:f>
              <c:strCache>
                <c:ptCount val="1"/>
                <c:pt idx="0">
                  <c:v>Sandy Ray</c:v>
                </c:pt>
              </c:strCache>
            </c:strRef>
          </c:tx>
          <c:spPr>
            <a:solidFill>
              <a:srgbClr val="E40D2C"/>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netters'!$C$170:$E$170</c:f>
              <c:numCache>
                <c:formatCode>0%</c:formatCode>
                <c:ptCount val="3"/>
                <c:pt idx="0">
                  <c:v>5.8049907603154845E-3</c:v>
                </c:pt>
                <c:pt idx="1">
                  <c:v>0</c:v>
                </c:pt>
                <c:pt idx="2">
                  <c:v>0</c:v>
                </c:pt>
              </c:numCache>
            </c:numRef>
          </c:val>
          <c:extLst>
            <c:ext xmlns:c16="http://schemas.microsoft.com/office/drawing/2014/chart" uri="{C3380CC4-5D6E-409C-BE32-E72D297353CC}">
              <c16:uniqueId val="{00000008-EFE7-4E16-877A-27686E537008}"/>
            </c:ext>
          </c:extLst>
        </c:ser>
        <c:ser>
          <c:idx val="9"/>
          <c:order val="9"/>
          <c:tx>
            <c:strRef>
              <c:f>'Gill netters'!$B$171</c:f>
              <c:strCache>
                <c:ptCount val="1"/>
                <c:pt idx="0">
                  <c:v>Others</c:v>
                </c:pt>
              </c:strCache>
            </c:strRef>
          </c:tx>
          <c:spPr>
            <a:solidFill>
              <a:srgbClr val="55585A"/>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netters'!$C$171:$E$171</c:f>
              <c:numCache>
                <c:formatCode>0%</c:formatCode>
                <c:ptCount val="3"/>
                <c:pt idx="0">
                  <c:v>3.6737977922671861E-2</c:v>
                </c:pt>
                <c:pt idx="1">
                  <c:v>5.9234817694694075E-2</c:v>
                </c:pt>
                <c:pt idx="2">
                  <c:v>6.4261012624848735E-2</c:v>
                </c:pt>
              </c:numCache>
            </c:numRef>
          </c:val>
          <c:extLst>
            <c:ext xmlns:c16="http://schemas.microsoft.com/office/drawing/2014/chart" uri="{C3380CC4-5D6E-409C-BE32-E72D297353CC}">
              <c16:uniqueId val="{00000009-EFE7-4E16-877A-27686E537008}"/>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'Gill netters'!$H$162</c:f>
              <c:strCache>
                <c:ptCount val="1"/>
                <c:pt idx="0">
                  <c:v>Hake</c:v>
                </c:pt>
              </c:strCache>
            </c:strRef>
          </c:tx>
          <c:spPr>
            <a:solidFill>
              <a:srgbClr val="E87308"/>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netters'!$I$162:$K$162</c:f>
              <c:numCache>
                <c:formatCode>0%</c:formatCode>
                <c:ptCount val="3"/>
                <c:pt idx="0">
                  <c:v>0.15021012508032677</c:v>
                </c:pt>
                <c:pt idx="1">
                  <c:v>0.58217635174266924</c:v>
                </c:pt>
                <c:pt idx="2">
                  <c:v>0.18689618172324876</c:v>
                </c:pt>
              </c:numCache>
            </c:numRef>
          </c:val>
          <c:extLst>
            <c:ext xmlns:c16="http://schemas.microsoft.com/office/drawing/2014/chart" uri="{C3380CC4-5D6E-409C-BE32-E72D297353CC}">
              <c16:uniqueId val="{00000000-DC98-48A0-98DB-7C216C60B1C0}"/>
            </c:ext>
          </c:extLst>
        </c:ser>
        <c:ser>
          <c:idx val="1"/>
          <c:order val="1"/>
          <c:tx>
            <c:strRef>
              <c:f>'Gill netters'!$H$163</c:f>
              <c:strCache>
                <c:ptCount val="1"/>
                <c:pt idx="0">
                  <c:v>Anglerfish</c:v>
                </c:pt>
              </c:strCache>
            </c:strRef>
          </c:tx>
          <c:spPr>
            <a:solidFill>
              <a:srgbClr val="2273B9"/>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netters'!$I$163:$K$163</c:f>
              <c:numCache>
                <c:formatCode>0%</c:formatCode>
                <c:ptCount val="3"/>
                <c:pt idx="0">
                  <c:v>0.79073255916523444</c:v>
                </c:pt>
                <c:pt idx="1">
                  <c:v>0.20132289683553103</c:v>
                </c:pt>
                <c:pt idx="2">
                  <c:v>0.49318791295699993</c:v>
                </c:pt>
              </c:numCache>
            </c:numRef>
          </c:val>
          <c:extLst>
            <c:ext xmlns:c16="http://schemas.microsoft.com/office/drawing/2014/chart" uri="{C3380CC4-5D6E-409C-BE32-E72D297353CC}">
              <c16:uniqueId val="{00000001-DC98-48A0-98DB-7C216C60B1C0}"/>
            </c:ext>
          </c:extLst>
        </c:ser>
        <c:ser>
          <c:idx val="2"/>
          <c:order val="2"/>
          <c:tx>
            <c:strRef>
              <c:f>'Gill netters'!$H$164</c:f>
              <c:strCache>
                <c:ptCount val="1"/>
                <c:pt idx="0">
                  <c:v>Turbot</c:v>
                </c:pt>
              </c:strCache>
            </c:strRef>
          </c:tx>
          <c:spPr>
            <a:solidFill>
              <a:srgbClr val="648C2E"/>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netters'!$I$164:$K$164</c:f>
              <c:numCache>
                <c:formatCode>0%</c:formatCode>
                <c:ptCount val="3"/>
                <c:pt idx="0">
                  <c:v>1.6609898292745836E-2</c:v>
                </c:pt>
                <c:pt idx="1">
                  <c:v>6.3255584648262059E-2</c:v>
                </c:pt>
                <c:pt idx="2">
                  <c:v>5.5201609317361983E-2</c:v>
                </c:pt>
              </c:numCache>
            </c:numRef>
          </c:val>
          <c:extLst>
            <c:ext xmlns:c16="http://schemas.microsoft.com/office/drawing/2014/chart" uri="{C3380CC4-5D6E-409C-BE32-E72D297353CC}">
              <c16:uniqueId val="{00000002-DC98-48A0-98DB-7C216C60B1C0}"/>
            </c:ext>
          </c:extLst>
        </c:ser>
        <c:ser>
          <c:idx val="3"/>
          <c:order val="3"/>
          <c:tx>
            <c:strRef>
              <c:f>'Gill netters'!$H$165</c:f>
              <c:strCache>
                <c:ptCount val="1"/>
                <c:pt idx="0">
                  <c:v>Pilchards</c:v>
                </c:pt>
              </c:strCache>
            </c:strRef>
          </c:tx>
          <c:spPr>
            <a:solidFill>
              <a:srgbClr val="E84A38"/>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netters'!$I$165:$K$165</c:f>
              <c:numCache>
                <c:formatCode>0%</c:formatCode>
                <c:ptCount val="3"/>
                <c:pt idx="0">
                  <c:v>0</c:v>
                </c:pt>
                <c:pt idx="1">
                  <c:v>5.1197458530087704E-2</c:v>
                </c:pt>
                <c:pt idx="2">
                  <c:v>0</c:v>
                </c:pt>
              </c:numCache>
            </c:numRef>
          </c:val>
          <c:extLst>
            <c:ext xmlns:c16="http://schemas.microsoft.com/office/drawing/2014/chart" uri="{C3380CC4-5D6E-409C-BE32-E72D297353CC}">
              <c16:uniqueId val="{00000003-DC98-48A0-98DB-7C216C60B1C0}"/>
            </c:ext>
          </c:extLst>
        </c:ser>
        <c:ser>
          <c:idx val="4"/>
          <c:order val="4"/>
          <c:tx>
            <c:strRef>
              <c:f>'Gill netters'!$H$166</c:f>
              <c:strCache>
                <c:ptCount val="1"/>
                <c:pt idx="0">
                  <c:v>Pollack</c:v>
                </c:pt>
              </c:strCache>
            </c:strRef>
          </c:tx>
          <c:spPr>
            <a:solidFill>
              <a:srgbClr val="C1D119"/>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netters'!$I$166:$K$166</c:f>
              <c:numCache>
                <c:formatCode>0%</c:formatCode>
                <c:ptCount val="3"/>
                <c:pt idx="0">
                  <c:v>0</c:v>
                </c:pt>
                <c:pt idx="1">
                  <c:v>4.6246662718797377E-2</c:v>
                </c:pt>
                <c:pt idx="2">
                  <c:v>0.11542887549380626</c:v>
                </c:pt>
              </c:numCache>
            </c:numRef>
          </c:val>
          <c:extLst>
            <c:ext xmlns:c16="http://schemas.microsoft.com/office/drawing/2014/chart" uri="{C3380CC4-5D6E-409C-BE32-E72D297353CC}">
              <c16:uniqueId val="{00000004-DC98-48A0-98DB-7C216C60B1C0}"/>
            </c:ext>
          </c:extLst>
        </c:ser>
        <c:ser>
          <c:idx val="5"/>
          <c:order val="5"/>
          <c:tx>
            <c:strRef>
              <c:f>'Gill netters'!$H$167</c:f>
              <c:strCache>
                <c:ptCount val="1"/>
                <c:pt idx="0">
                  <c:v>Crawfish</c:v>
                </c:pt>
              </c:strCache>
            </c:strRef>
          </c:tx>
          <c:spPr>
            <a:solidFill>
              <a:srgbClr val="51AA81"/>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netters'!$I$167:$K$167</c:f>
              <c:numCache>
                <c:formatCode>0%</c:formatCode>
                <c:ptCount val="3"/>
                <c:pt idx="0">
                  <c:v>1.3525850997539545E-2</c:v>
                </c:pt>
                <c:pt idx="1">
                  <c:v>0</c:v>
                </c:pt>
                <c:pt idx="2">
                  <c:v>5.9483541952942684E-2</c:v>
                </c:pt>
              </c:numCache>
            </c:numRef>
          </c:val>
          <c:extLst>
            <c:ext xmlns:c16="http://schemas.microsoft.com/office/drawing/2014/chart" uri="{C3380CC4-5D6E-409C-BE32-E72D297353CC}">
              <c16:uniqueId val="{00000005-DC98-48A0-98DB-7C216C60B1C0}"/>
            </c:ext>
          </c:extLst>
        </c:ser>
        <c:ser>
          <c:idx val="6"/>
          <c:order val="6"/>
          <c:tx>
            <c:strRef>
              <c:f>'Gill netters'!$H$168</c:f>
              <c:strCache>
                <c:ptCount val="1"/>
                <c:pt idx="0">
                  <c:v>Ling</c:v>
                </c:pt>
              </c:strCache>
            </c:strRef>
          </c:tx>
          <c:spPr>
            <a:solidFill>
              <a:srgbClr val="FED825"/>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netters'!$I$168:$K$168</c:f>
              <c:numCache>
                <c:formatCode>0%</c:formatCode>
                <c:ptCount val="3"/>
                <c:pt idx="0">
                  <c:v>6.6702289625846459E-3</c:v>
                </c:pt>
                <c:pt idx="1">
                  <c:v>0</c:v>
                </c:pt>
                <c:pt idx="2">
                  <c:v>0</c:v>
                </c:pt>
              </c:numCache>
            </c:numRef>
          </c:val>
          <c:extLst>
            <c:ext xmlns:c16="http://schemas.microsoft.com/office/drawing/2014/chart" uri="{C3380CC4-5D6E-409C-BE32-E72D297353CC}">
              <c16:uniqueId val="{00000006-DC98-48A0-98DB-7C216C60B1C0}"/>
            </c:ext>
          </c:extLst>
        </c:ser>
        <c:ser>
          <c:idx val="7"/>
          <c:order val="7"/>
          <c:tx>
            <c:strRef>
              <c:f>'Gill netters'!$H$169</c:f>
              <c:strCache>
                <c:ptCount val="1"/>
                <c:pt idx="0">
                  <c:v>Others</c:v>
                </c:pt>
              </c:strCache>
            </c:strRef>
          </c:tx>
          <c:spPr>
            <a:solidFill>
              <a:srgbClr val="55585A"/>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netters'!$I$169:$K$169</c:f>
              <c:numCache>
                <c:formatCode>0%</c:formatCode>
                <c:ptCount val="3"/>
                <c:pt idx="0">
                  <c:v>2.2251337501568713E-2</c:v>
                </c:pt>
                <c:pt idx="1">
                  <c:v>5.5801045524652482E-2</c:v>
                </c:pt>
                <c:pt idx="2">
                  <c:v>8.980187855564048E-2</c:v>
                </c:pt>
              </c:numCache>
            </c:numRef>
          </c:val>
          <c:extLst>
            <c:ext xmlns:c16="http://schemas.microsoft.com/office/drawing/2014/chart" uri="{C3380CC4-5D6E-409C-BE32-E72D297353CC}">
              <c16:uniqueId val="{00000007-DC98-48A0-98DB-7C216C60B1C0}"/>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'Gill netters'!$K$139</c:f>
              <c:strCache>
                <c:ptCount val="1"/>
                <c:pt idx="0">
                  <c:v>Total income</c:v>
                </c:pt>
              </c:strCache>
            </c:strRef>
          </c:tx>
          <c:spPr>
            <a:solidFill>
              <a:srgbClr val="087CBB"/>
            </a:solidFill>
            <a:ln>
              <a:solidFill>
                <a:schemeClr val="accent1"/>
              </a:solidFill>
            </a:ln>
          </c:spPr>
          <c:invertIfNegative val="0"/>
          <c:cat>
            <c:strRef>
              <c:f>'Gill netters'!$L$138:$N$138</c:f>
              <c:strCache>
                <c:ptCount val="3"/>
                <c:pt idx="0">
                  <c:v>Most
profitable
quartile</c:v>
                </c:pt>
                <c:pt idx="1">
                  <c:v>Middle
two quartiles</c:v>
                </c:pt>
                <c:pt idx="2">
                  <c:v>Least
profitable
quartile</c:v>
                </c:pt>
              </c:strCache>
            </c:strRef>
          </c:cat>
          <c:val>
            <c:numRef>
              <c:f>'Gill netters'!$L$139:$N$139</c:f>
              <c:numCache>
                <c:formatCode>#,##0</c:formatCode>
                <c:ptCount val="3"/>
                <c:pt idx="0">
                  <c:v>1444.2257500000001</c:v>
                </c:pt>
                <c:pt idx="1">
                  <c:v>722.96296874999996</c:v>
                </c:pt>
                <c:pt idx="2">
                  <c:v>223.09075000000001</c:v>
                </c:pt>
              </c:numCache>
            </c:numRef>
          </c:val>
          <c:extLst>
            <c:ext xmlns:c16="http://schemas.microsoft.com/office/drawing/2014/chart" uri="{C3380CC4-5D6E-409C-BE32-E72D297353CC}">
              <c16:uniqueId val="{00000000-1D83-40A9-B701-B8955CE6BCC2}"/>
            </c:ext>
          </c:extLst>
        </c:ser>
        <c:ser>
          <c:idx val="1"/>
          <c:order val="1"/>
          <c:tx>
            <c:strRef>
              <c:f>'Gill netters'!$K$140</c:f>
              <c:strCache>
                <c:ptCount val="1"/>
                <c:pt idx="0">
                  <c:v>Operating costs</c:v>
                </c:pt>
              </c:strCache>
            </c:strRef>
          </c:tx>
          <c:spPr>
            <a:solidFill>
              <a:srgbClr val="E87308"/>
            </a:solidFill>
          </c:spPr>
          <c:invertIfNegative val="0"/>
          <c:cat>
            <c:strRef>
              <c:f>'Gill netters'!$L$138:$N$138</c:f>
              <c:strCache>
                <c:ptCount val="3"/>
                <c:pt idx="0">
                  <c:v>Most
profitable
quartile</c:v>
                </c:pt>
                <c:pt idx="1">
                  <c:v>Middle
two quartiles</c:v>
                </c:pt>
                <c:pt idx="2">
                  <c:v>Least
profitable
quartile</c:v>
                </c:pt>
              </c:strCache>
            </c:strRef>
          </c:cat>
          <c:val>
            <c:numRef>
              <c:f>'Gill netters'!$L$140:$N$140</c:f>
              <c:numCache>
                <c:formatCode>#,##0</c:formatCode>
                <c:ptCount val="3"/>
                <c:pt idx="0">
                  <c:v>1224.22975</c:v>
                </c:pt>
                <c:pt idx="1">
                  <c:v>637.35640384615397</c:v>
                </c:pt>
                <c:pt idx="2">
                  <c:v>214.64984375</c:v>
                </c:pt>
              </c:numCache>
            </c:numRef>
          </c:val>
          <c:extLst>
            <c:ext xmlns:c16="http://schemas.microsoft.com/office/drawing/2014/chart" uri="{C3380CC4-5D6E-409C-BE32-E72D297353CC}">
              <c16:uniqueId val="{00000001-1D83-40A9-B701-B8955CE6BCC2}"/>
            </c:ext>
          </c:extLst>
        </c:ser>
        <c:ser>
          <c:idx val="2"/>
          <c:order val="2"/>
          <c:tx>
            <c:strRef>
              <c:f>'Gill netters'!$K$141</c:f>
              <c:strCache>
                <c:ptCount val="1"/>
                <c:pt idx="0">
                  <c:v>Operating profit</c:v>
                </c:pt>
              </c:strCache>
            </c:strRef>
          </c:tx>
          <c:spPr>
            <a:solidFill>
              <a:srgbClr val="51AA81"/>
            </a:solidFill>
          </c:spPr>
          <c:invertIfNegative val="0"/>
          <c:cat>
            <c:strRef>
              <c:f>'Gill netters'!$L$138:$N$138</c:f>
              <c:strCache>
                <c:ptCount val="3"/>
                <c:pt idx="0">
                  <c:v>Most
profitable
quartile</c:v>
                </c:pt>
                <c:pt idx="1">
                  <c:v>Middle
two quartiles</c:v>
                </c:pt>
                <c:pt idx="2">
                  <c:v>Least
profitable
quartile</c:v>
                </c:pt>
              </c:strCache>
            </c:strRef>
          </c:cat>
          <c:val>
            <c:numRef>
              <c:f>'Gill netters'!$L$141:$N$141</c:f>
              <c:numCache>
                <c:formatCode>#,##0</c:formatCode>
                <c:ptCount val="3"/>
                <c:pt idx="0">
                  <c:v>219.99600000000001</c:v>
                </c:pt>
                <c:pt idx="1">
                  <c:v>85.606564903846106</c:v>
                </c:pt>
                <c:pt idx="2">
                  <c:v>8.4409062499999994</c:v>
                </c:pt>
              </c:numCache>
            </c:numRef>
          </c:val>
          <c:extLst>
            <c:ext xmlns:c16="http://schemas.microsoft.com/office/drawing/2014/chart" uri="{C3380CC4-5D6E-409C-BE32-E72D297353CC}">
              <c16:uniqueId val="{00000002-1D83-40A9-B701-B8955CE6BCC2}"/>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'Gill netters'!$K$142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Inactive!$A$48</c:f>
          <c:strCache>
            <c:ptCount val="1"/>
            <c:pt idx="0">
              <c:v>Landings per kW day at sea (kg)
Inactive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38B2-44B9-9D80-36CFBF5A926D}"/>
              </c:ext>
            </c:extLst>
          </c:dPt>
          <c:dPt>
            <c:idx val="10"/>
            <c:bubble3D val="0"/>
            <c:spPr>
              <a:ln w="57150">
                <a:solidFill>
                  <a:srgbClr val="2273B9"/>
                </a:solidFill>
                <a:prstDash val="sysDot"/>
              </a:ln>
            </c:spPr>
            <c:extLst>
              <c:ext xmlns:c16="http://schemas.microsoft.com/office/drawing/2014/chart" uri="{C3380CC4-5D6E-409C-BE32-E72D297353CC}">
                <c16:uniqueId val="{00000003-38B2-44B9-9D80-36CFBF5A926D}"/>
              </c:ext>
            </c:extLst>
          </c:dPt>
          <c:cat>
            <c:numRef>
              <c:f>Inactive!$D$2:$N$2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Inactive!$D$21:$N$21</c:f>
              <c:numCache>
                <c:formatCode>#,##0.00</c:formatCode>
                <c:ptCount val="11"/>
              </c:numCache>
            </c:numRef>
          </c:val>
          <c:smooth val="0"/>
          <c:extLst>
            <c:ext xmlns:c16="http://schemas.microsoft.com/office/drawing/2014/chart" uri="{C3380CC4-5D6E-409C-BE32-E72D297353CC}">
              <c16:uniqueId val="{00000004-38B2-44B9-9D80-36CFBF5A926D}"/>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Inactive!$A$49</c:f>
          <c:strCache>
            <c:ptCount val="1"/>
            <c:pt idx="0">
              <c:v>Fishing income per kW day at sea (£)
Inactive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265F-4BDF-A84B-0DEB05722EEB}"/>
              </c:ext>
            </c:extLst>
          </c:dPt>
          <c:dPt>
            <c:idx val="10"/>
            <c:bubble3D val="0"/>
            <c:spPr>
              <a:ln w="57150">
                <a:solidFill>
                  <a:srgbClr val="648C2E"/>
                </a:solidFill>
                <a:prstDash val="sysDot"/>
              </a:ln>
            </c:spPr>
            <c:extLst>
              <c:ext xmlns:c16="http://schemas.microsoft.com/office/drawing/2014/chart" uri="{C3380CC4-5D6E-409C-BE32-E72D297353CC}">
                <c16:uniqueId val="{00000003-265F-4BDF-A84B-0DEB05722EEB}"/>
              </c:ext>
            </c:extLst>
          </c:dPt>
          <c:cat>
            <c:numRef>
              <c:f>Inactive!$D$2:$N$2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Inactive!$D$22:$N$22</c:f>
              <c:numCache>
                <c:formatCode>#,##0.00</c:formatCode>
                <c:ptCount val="11"/>
              </c:numCache>
            </c:numRef>
          </c:val>
          <c:smooth val="0"/>
          <c:extLst>
            <c:ext xmlns:c16="http://schemas.microsoft.com/office/drawing/2014/chart" uri="{C3380CC4-5D6E-409C-BE32-E72D297353CC}">
              <c16:uniqueId val="{00000004-265F-4BDF-A84B-0DEB05722EEB}"/>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Inactive!$B$62</c:f>
          <c:strCache>
            <c:ptCount val="1"/>
            <c:pt idx="0">
              <c:v>Total cost per kW day at sea (£)
Inactive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9ECA-4166-A59F-232098A5E257}"/>
              </c:ext>
            </c:extLst>
          </c:dPt>
          <c:dPt>
            <c:idx val="10"/>
            <c:bubble3D val="0"/>
            <c:spPr>
              <a:ln w="57150">
                <a:solidFill>
                  <a:srgbClr val="087CBB"/>
                </a:solidFill>
                <a:prstDash val="sysDot"/>
              </a:ln>
            </c:spPr>
            <c:extLst>
              <c:ext xmlns:c16="http://schemas.microsoft.com/office/drawing/2014/chart" uri="{C3380CC4-5D6E-409C-BE32-E72D297353CC}">
                <c16:uniqueId val="{00000003-9ECA-4166-A59F-232098A5E257}"/>
              </c:ext>
            </c:extLst>
          </c:dPt>
          <c:cat>
            <c:numRef>
              <c:f>Inactive!$D$2:$N$2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Inactive!$D$23:$N$23</c:f>
              <c:numCache>
                <c:formatCode>#,##0.00</c:formatCode>
                <c:ptCount val="11"/>
              </c:numCache>
            </c:numRef>
          </c:val>
          <c:smooth val="0"/>
          <c:extLst>
            <c:ext xmlns:c16="http://schemas.microsoft.com/office/drawing/2014/chart" uri="{C3380CC4-5D6E-409C-BE32-E72D297353CC}">
              <c16:uniqueId val="{00000004-9ECA-4166-A59F-232098A5E257}"/>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Inactive!$K$48</c:f>
          <c:strCache>
            <c:ptCount val="1"/>
            <c:pt idx="0">
              <c:v>Operating profit per kW day at sea (£)
Inactive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0072-4CCB-81AF-A52DA47E7BDB}"/>
              </c:ext>
            </c:extLst>
          </c:dPt>
          <c:dPt>
            <c:idx val="10"/>
            <c:bubble3D val="0"/>
            <c:spPr>
              <a:ln w="57150">
                <a:solidFill>
                  <a:schemeClr val="accent3"/>
                </a:solidFill>
                <a:prstDash val="sysDot"/>
              </a:ln>
            </c:spPr>
            <c:extLst>
              <c:ext xmlns:c16="http://schemas.microsoft.com/office/drawing/2014/chart" uri="{C3380CC4-5D6E-409C-BE32-E72D297353CC}">
                <c16:uniqueId val="{00000003-0072-4CCB-81AF-A52DA47E7BDB}"/>
              </c:ext>
            </c:extLst>
          </c:dPt>
          <c:cat>
            <c:numRef>
              <c:f>Inactive!$D$2:$N$2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Inactive!$D$24:$N$24</c:f>
              <c:numCache>
                <c:formatCode>#,##0.00</c:formatCode>
                <c:ptCount val="11"/>
              </c:numCache>
            </c:numRef>
          </c:val>
          <c:smooth val="0"/>
          <c:extLst>
            <c:ext xmlns:c16="http://schemas.microsoft.com/office/drawing/2014/chart" uri="{C3380CC4-5D6E-409C-BE32-E72D297353CC}">
              <c16:uniqueId val="{00000004-0072-4CCB-81AF-A52DA47E7BDB}"/>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Inactive!$A$50</c:f>
          <c:strCache>
            <c:ptCount val="1"/>
            <c:pt idx="0">
              <c:v>Average price per tonne landed (£)
Inactive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84BC-4559-86DC-EFDC3BEC9FE6}"/>
              </c:ext>
            </c:extLst>
          </c:dPt>
          <c:dPt>
            <c:idx val="10"/>
            <c:bubble3D val="0"/>
            <c:spPr>
              <a:ln w="57150">
                <a:solidFill>
                  <a:schemeClr val="accent4"/>
                </a:solidFill>
                <a:prstDash val="sysDot"/>
              </a:ln>
            </c:spPr>
            <c:extLst>
              <c:ext xmlns:c16="http://schemas.microsoft.com/office/drawing/2014/chart" uri="{C3380CC4-5D6E-409C-BE32-E72D297353CC}">
                <c16:uniqueId val="{00000003-84BC-4559-86DC-EFDC3BEC9FE6}"/>
              </c:ext>
            </c:extLst>
          </c:dPt>
          <c:cat>
            <c:numRef>
              <c:f>Inactive!$D$2:$M$2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Inactive!$D$20:$N$20</c:f>
              <c:numCache>
                <c:formatCode>#,##0</c:formatCode>
                <c:ptCount val="11"/>
              </c:numCache>
            </c:numRef>
          </c:val>
          <c:smooth val="0"/>
          <c:extLst>
            <c:ext xmlns:c16="http://schemas.microsoft.com/office/drawing/2014/chart" uri="{C3380CC4-5D6E-409C-BE32-E72D297353CC}">
              <c16:uniqueId val="{00000004-84BC-4559-86DC-EFDC3BEC9FE6}"/>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Inactive!$K$62</c:f>
          <c:strCache>
            <c:ptCount val="1"/>
            <c:pt idx="0">
              <c:v>Average annual operating profit per vessel (£'000)
Inactive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C33F-4B94-8841-7DFA6D04741B}"/>
              </c:ext>
            </c:extLst>
          </c:dPt>
          <c:dPt>
            <c:idx val="10"/>
            <c:bubble3D val="0"/>
            <c:spPr>
              <a:ln w="57150">
                <a:solidFill>
                  <a:schemeClr val="accent5"/>
                </a:solidFill>
                <a:prstDash val="sysDot"/>
              </a:ln>
            </c:spPr>
            <c:extLst>
              <c:ext xmlns:c16="http://schemas.microsoft.com/office/drawing/2014/chart" uri="{C3380CC4-5D6E-409C-BE32-E72D297353CC}">
                <c16:uniqueId val="{00000003-C33F-4B94-8841-7DFA6D04741B}"/>
              </c:ext>
            </c:extLst>
          </c:dPt>
          <c:cat>
            <c:numRef>
              <c:f>Inactive!$D$2:$M$2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Inactive!$D$37:$N$37</c:f>
              <c:numCache>
                <c:formatCode>#,##0.0</c:formatCode>
                <c:ptCount val="11"/>
              </c:numCache>
            </c:numRef>
          </c:val>
          <c:smooth val="0"/>
          <c:extLst>
            <c:ext xmlns:c16="http://schemas.microsoft.com/office/drawing/2014/chart" uri="{C3380CC4-5D6E-409C-BE32-E72D297353CC}">
              <c16:uniqueId val="{00000004-C33F-4B94-8841-7DFA6D04741B}"/>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Inactive!$A$76</c:f>
          <c:strCache>
            <c:ptCount val="1"/>
            <c:pt idx="0">
              <c:v>Top 5 landed species by volume in 2019
Inactive</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c:spPr>
            <c:extLst>
              <c:ext xmlns:c16="http://schemas.microsoft.com/office/drawing/2014/chart" uri="{C3380CC4-5D6E-409C-BE32-E72D297353CC}">
                <c16:uniqueId val="{00000001-559C-467C-A552-A1E248C7ADF9}"/>
              </c:ext>
            </c:extLst>
          </c:dPt>
          <c:dPt>
            <c:idx val="1"/>
            <c:bubble3D val="0"/>
            <c:spPr>
              <a:solidFill>
                <a:srgbClr val="FED825"/>
              </a:solidFill>
            </c:spPr>
            <c:extLst>
              <c:ext xmlns:c16="http://schemas.microsoft.com/office/drawing/2014/chart" uri="{C3380CC4-5D6E-409C-BE32-E72D297353CC}">
                <c16:uniqueId val="{00000003-559C-467C-A552-A1E248C7ADF9}"/>
              </c:ext>
            </c:extLst>
          </c:dPt>
          <c:dPt>
            <c:idx val="2"/>
            <c:bubble3D val="0"/>
            <c:spPr>
              <a:solidFill>
                <a:srgbClr val="E87308"/>
              </a:solidFill>
            </c:spPr>
            <c:extLst>
              <c:ext xmlns:c16="http://schemas.microsoft.com/office/drawing/2014/chart" uri="{C3380CC4-5D6E-409C-BE32-E72D297353CC}">
                <c16:uniqueId val="{00000005-559C-467C-A552-A1E248C7ADF9}"/>
              </c:ext>
            </c:extLst>
          </c:dPt>
          <c:dPt>
            <c:idx val="3"/>
            <c:bubble3D val="0"/>
            <c:spPr>
              <a:solidFill>
                <a:srgbClr val="55585A"/>
              </a:solidFill>
            </c:spPr>
            <c:extLst>
              <c:ext xmlns:c16="http://schemas.microsoft.com/office/drawing/2014/chart" uri="{C3380CC4-5D6E-409C-BE32-E72D297353CC}">
                <c16:uniqueId val="{00000007-559C-467C-A552-A1E248C7ADF9}"/>
              </c:ext>
            </c:extLst>
          </c:dPt>
          <c:dPt>
            <c:idx val="4"/>
            <c:bubble3D val="0"/>
            <c:spPr>
              <a:solidFill>
                <a:srgbClr val="51AA81"/>
              </a:solidFill>
            </c:spPr>
            <c:extLst>
              <c:ext xmlns:c16="http://schemas.microsoft.com/office/drawing/2014/chart" uri="{C3380CC4-5D6E-409C-BE32-E72D297353CC}">
                <c16:uniqueId val="{00000009-559C-467C-A552-A1E248C7ADF9}"/>
              </c:ext>
            </c:extLst>
          </c:dPt>
          <c:dPt>
            <c:idx val="5"/>
            <c:bubble3D val="0"/>
            <c:spPr>
              <a:solidFill>
                <a:srgbClr val="E84A35"/>
              </a:solidFill>
            </c:spPr>
            <c:extLst>
              <c:ext xmlns:c16="http://schemas.microsoft.com/office/drawing/2014/chart" uri="{C3380CC4-5D6E-409C-BE32-E72D297353CC}">
                <c16:uniqueId val="{0000000B-559C-467C-A552-A1E248C7ADF9}"/>
              </c:ext>
            </c:extLst>
          </c:dPt>
          <c:cat>
            <c:strRef>
              <c:f>Inactive!$B$77:$B$82</c:f>
              <c:strCache>
                <c:ptCount val="6"/>
                <c:pt idx="0">
                  <c:v> - </c:v>
                </c:pt>
                <c:pt idx="1">
                  <c:v> - </c:v>
                </c:pt>
                <c:pt idx="2">
                  <c:v> - </c:v>
                </c:pt>
                <c:pt idx="3">
                  <c:v> - </c:v>
                </c:pt>
                <c:pt idx="4">
                  <c:v> - </c:v>
                </c:pt>
                <c:pt idx="5">
                  <c:v>Others - 100.0%</c:v>
                </c:pt>
              </c:strCache>
            </c:strRef>
          </c:cat>
          <c:val>
            <c:numRef>
              <c:f>Inactive!$C$77:$C$82</c:f>
              <c:numCache>
                <c:formatCode>0.0%</c:formatCode>
                <c:ptCount val="6"/>
                <c:pt idx="5">
                  <c:v>1</c:v>
                </c:pt>
              </c:numCache>
            </c:numRef>
          </c:val>
          <c:extLst>
            <c:ext xmlns:c16="http://schemas.microsoft.com/office/drawing/2014/chart" uri="{C3380CC4-5D6E-409C-BE32-E72D297353CC}">
              <c16:uniqueId val="{0000000C-559C-467C-A552-A1E248C7ADF9}"/>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demersal trawl'!$F$76</c:f>
          <c:strCache>
            <c:ptCount val="1"/>
            <c:pt idx="0">
              <c:v>Top 5 landed species by value in 2019
Area VIIA demersal trawl</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4A6E-403C-AA3A-4F0E25F1B02C}"/>
              </c:ext>
            </c:extLst>
          </c:dPt>
          <c:dPt>
            <c:idx val="1"/>
            <c:bubble3D val="0"/>
            <c:spPr>
              <a:solidFill>
                <a:srgbClr val="E87308"/>
              </a:solidFill>
              <a:ln>
                <a:solidFill>
                  <a:srgbClr val="FFFFFF"/>
                </a:solidFill>
              </a:ln>
            </c:spPr>
            <c:extLst>
              <c:ext xmlns:c16="http://schemas.microsoft.com/office/drawing/2014/chart" uri="{C3380CC4-5D6E-409C-BE32-E72D297353CC}">
                <c16:uniqueId val="{00000003-4A6E-403C-AA3A-4F0E25F1B02C}"/>
              </c:ext>
            </c:extLst>
          </c:dPt>
          <c:dPt>
            <c:idx val="2"/>
            <c:bubble3D val="0"/>
            <c:spPr>
              <a:solidFill>
                <a:srgbClr val="648C2E"/>
              </a:solidFill>
              <a:ln>
                <a:solidFill>
                  <a:srgbClr val="FFFFFF"/>
                </a:solidFill>
              </a:ln>
            </c:spPr>
            <c:extLst>
              <c:ext xmlns:c16="http://schemas.microsoft.com/office/drawing/2014/chart" uri="{C3380CC4-5D6E-409C-BE32-E72D297353CC}">
                <c16:uniqueId val="{00000005-4A6E-403C-AA3A-4F0E25F1B02C}"/>
              </c:ext>
            </c:extLst>
          </c:dPt>
          <c:dPt>
            <c:idx val="3"/>
            <c:bubble3D val="0"/>
            <c:spPr>
              <a:solidFill>
                <a:srgbClr val="C1D119"/>
              </a:solidFill>
              <a:ln>
                <a:solidFill>
                  <a:srgbClr val="FFFFFF"/>
                </a:solidFill>
              </a:ln>
            </c:spPr>
            <c:extLst>
              <c:ext xmlns:c16="http://schemas.microsoft.com/office/drawing/2014/chart" uri="{C3380CC4-5D6E-409C-BE32-E72D297353CC}">
                <c16:uniqueId val="{00000007-4A6E-403C-AA3A-4F0E25F1B02C}"/>
              </c:ext>
            </c:extLst>
          </c:dPt>
          <c:dPt>
            <c:idx val="4"/>
            <c:bubble3D val="0"/>
            <c:spPr>
              <a:solidFill>
                <a:srgbClr val="E84A38"/>
              </a:solidFill>
              <a:ln>
                <a:solidFill>
                  <a:srgbClr val="FFFFFF"/>
                </a:solidFill>
              </a:ln>
            </c:spPr>
            <c:extLst>
              <c:ext xmlns:c16="http://schemas.microsoft.com/office/drawing/2014/chart" uri="{C3380CC4-5D6E-409C-BE32-E72D297353CC}">
                <c16:uniqueId val="{00000009-4A6E-403C-AA3A-4F0E25F1B02C}"/>
              </c:ext>
            </c:extLst>
          </c:dPt>
          <c:dPt>
            <c:idx val="5"/>
            <c:bubble3D val="0"/>
            <c:spPr>
              <a:solidFill>
                <a:srgbClr val="55585A"/>
              </a:solidFill>
              <a:ln>
                <a:solidFill>
                  <a:srgbClr val="FFFFFF"/>
                </a:solidFill>
              </a:ln>
            </c:spPr>
            <c:extLst>
              <c:ext xmlns:c16="http://schemas.microsoft.com/office/drawing/2014/chart" uri="{C3380CC4-5D6E-409C-BE32-E72D297353CC}">
                <c16:uniqueId val="{0000000B-4A6E-403C-AA3A-4F0E25F1B02C}"/>
              </c:ext>
            </c:extLst>
          </c:dPt>
          <c:cat>
            <c:strRef>
              <c:f>'Area VIIa demersal trawl'!$G$77:$G$82</c:f>
              <c:strCache>
                <c:ptCount val="6"/>
                <c:pt idx="0">
                  <c:v>Haddock - 40.0%</c:v>
                </c:pt>
                <c:pt idx="1">
                  <c:v>Nephrops - 17.7%</c:v>
                </c:pt>
                <c:pt idx="2">
                  <c:v>Cod - 11.8%</c:v>
                </c:pt>
                <c:pt idx="3">
                  <c:v>Scallops - 7.6%</c:v>
                </c:pt>
                <c:pt idx="4">
                  <c:v>Hake - 7.0%</c:v>
                </c:pt>
                <c:pt idx="5">
                  <c:v>Others - 15.8%</c:v>
                </c:pt>
              </c:strCache>
            </c:strRef>
          </c:cat>
          <c:val>
            <c:numRef>
              <c:f>'Area VIIa demersal trawl'!$H$77:$H$82</c:f>
              <c:numCache>
                <c:formatCode>0.0%</c:formatCode>
                <c:ptCount val="6"/>
                <c:pt idx="0">
                  <c:v>0.40031335358925452</c:v>
                </c:pt>
                <c:pt idx="1">
                  <c:v>0.17730995019304224</c:v>
                </c:pt>
                <c:pt idx="2">
                  <c:v>0.11789709249440999</c:v>
                </c:pt>
                <c:pt idx="3">
                  <c:v>7.634136822021341E-2</c:v>
                </c:pt>
                <c:pt idx="4">
                  <c:v>6.990837393673581E-2</c:v>
                </c:pt>
                <c:pt idx="5">
                  <c:v>0.15822986156634411</c:v>
                </c:pt>
              </c:numCache>
            </c:numRef>
          </c:val>
          <c:extLst>
            <c:ext xmlns:c16="http://schemas.microsoft.com/office/drawing/2014/chart" uri="{C3380CC4-5D6E-409C-BE32-E72D297353CC}">
              <c16:uniqueId val="{0000000C-4A6E-403C-AA3A-4F0E25F1B02C}"/>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Inactive!$F$76</c:f>
          <c:strCache>
            <c:ptCount val="1"/>
            <c:pt idx="0">
              <c:v>Top 5 landed species by value in 2019
Inactive</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c:spPr>
            <c:extLst>
              <c:ext xmlns:c16="http://schemas.microsoft.com/office/drawing/2014/chart" uri="{C3380CC4-5D6E-409C-BE32-E72D297353CC}">
                <c16:uniqueId val="{00000001-9BA9-4A38-A089-00F097A50654}"/>
              </c:ext>
            </c:extLst>
          </c:dPt>
          <c:dPt>
            <c:idx val="1"/>
            <c:bubble3D val="0"/>
            <c:spPr>
              <a:solidFill>
                <a:srgbClr val="FED825"/>
              </a:solidFill>
            </c:spPr>
            <c:extLst>
              <c:ext xmlns:c16="http://schemas.microsoft.com/office/drawing/2014/chart" uri="{C3380CC4-5D6E-409C-BE32-E72D297353CC}">
                <c16:uniqueId val="{00000003-9BA9-4A38-A089-00F097A50654}"/>
              </c:ext>
            </c:extLst>
          </c:dPt>
          <c:dPt>
            <c:idx val="2"/>
            <c:bubble3D val="0"/>
            <c:spPr>
              <a:solidFill>
                <a:srgbClr val="E87308"/>
              </a:solidFill>
            </c:spPr>
            <c:extLst>
              <c:ext xmlns:c16="http://schemas.microsoft.com/office/drawing/2014/chart" uri="{C3380CC4-5D6E-409C-BE32-E72D297353CC}">
                <c16:uniqueId val="{00000005-9BA9-4A38-A089-00F097A50654}"/>
              </c:ext>
            </c:extLst>
          </c:dPt>
          <c:dPt>
            <c:idx val="3"/>
            <c:bubble3D val="0"/>
            <c:spPr>
              <a:solidFill>
                <a:srgbClr val="55585A"/>
              </a:solidFill>
            </c:spPr>
            <c:extLst>
              <c:ext xmlns:c16="http://schemas.microsoft.com/office/drawing/2014/chart" uri="{C3380CC4-5D6E-409C-BE32-E72D297353CC}">
                <c16:uniqueId val="{00000007-9BA9-4A38-A089-00F097A50654}"/>
              </c:ext>
            </c:extLst>
          </c:dPt>
          <c:dPt>
            <c:idx val="4"/>
            <c:bubble3D val="0"/>
            <c:spPr>
              <a:solidFill>
                <a:srgbClr val="51AA81"/>
              </a:solidFill>
            </c:spPr>
            <c:extLst>
              <c:ext xmlns:c16="http://schemas.microsoft.com/office/drawing/2014/chart" uri="{C3380CC4-5D6E-409C-BE32-E72D297353CC}">
                <c16:uniqueId val="{00000009-9BA9-4A38-A089-00F097A50654}"/>
              </c:ext>
            </c:extLst>
          </c:dPt>
          <c:dPt>
            <c:idx val="5"/>
            <c:bubble3D val="0"/>
            <c:spPr>
              <a:solidFill>
                <a:srgbClr val="E84A35"/>
              </a:solidFill>
            </c:spPr>
            <c:extLst>
              <c:ext xmlns:c16="http://schemas.microsoft.com/office/drawing/2014/chart" uri="{C3380CC4-5D6E-409C-BE32-E72D297353CC}">
                <c16:uniqueId val="{0000000B-9BA9-4A38-A089-00F097A50654}"/>
              </c:ext>
            </c:extLst>
          </c:dPt>
          <c:cat>
            <c:strRef>
              <c:f>Inactive!$G$77:$G$82</c:f>
              <c:strCache>
                <c:ptCount val="6"/>
                <c:pt idx="0">
                  <c:v> - </c:v>
                </c:pt>
                <c:pt idx="1">
                  <c:v> - </c:v>
                </c:pt>
                <c:pt idx="2">
                  <c:v> - </c:v>
                </c:pt>
                <c:pt idx="3">
                  <c:v> - </c:v>
                </c:pt>
                <c:pt idx="4">
                  <c:v> - </c:v>
                </c:pt>
                <c:pt idx="5">
                  <c:v>Others - 100.0%</c:v>
                </c:pt>
              </c:strCache>
            </c:strRef>
          </c:cat>
          <c:val>
            <c:numRef>
              <c:f>Inactive!$H$77:$H$82</c:f>
              <c:numCache>
                <c:formatCode>0.0%</c:formatCode>
                <c:ptCount val="6"/>
                <c:pt idx="5">
                  <c:v>1</c:v>
                </c:pt>
              </c:numCache>
            </c:numRef>
          </c:val>
          <c:extLst>
            <c:ext xmlns:c16="http://schemas.microsoft.com/office/drawing/2014/chart" uri="{C3380CC4-5D6E-409C-BE32-E72D297353CC}">
              <c16:uniqueId val="{0000000C-9BA9-4A38-A089-00F097A50654}"/>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Inactive!$K$77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Inactive!$C$92</c:f>
              <c:strCache>
                <c:ptCount val="1"/>
              </c:strCache>
            </c:strRef>
          </c:tx>
          <c:spPr>
            <a:solidFill>
              <a:srgbClr val="2273B9"/>
            </a:solidFill>
            <a:ln>
              <a:solidFill>
                <a:srgbClr val="FFFFFF"/>
              </a:solidFill>
            </a:ln>
          </c:spPr>
          <c:invertIfNegative val="0"/>
          <c:cat>
            <c:numRef>
              <c:f>Inactive!$D$91:$M$91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Inactive!$D$92:$M$92</c:f>
              <c:numCache>
                <c:formatCode>0%</c:formatCode>
                <c:ptCount val="10"/>
                <c:pt idx="0">
                  <c:v>0</c:v>
                </c:pt>
                <c:pt idx="1">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662-4647-9BB4-C5D456D4C707}"/>
            </c:ext>
          </c:extLst>
        </c:ser>
        <c:ser>
          <c:idx val="1"/>
          <c:order val="1"/>
          <c:tx>
            <c:strRef>
              <c:f>Inactive!$C$93</c:f>
              <c:strCache>
                <c:ptCount val="1"/>
              </c:strCache>
            </c:strRef>
          </c:tx>
          <c:spPr>
            <a:solidFill>
              <a:srgbClr val="FED825"/>
            </a:solidFill>
          </c:spPr>
          <c:invertIfNegative val="0"/>
          <c:cat>
            <c:numRef>
              <c:f>Inactive!$D$91:$M$91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Inactive!$D$93:$M$93</c:f>
              <c:numCache>
                <c:formatCode>0%</c:formatCode>
                <c:ptCount val="10"/>
                <c:pt idx="0">
                  <c:v>0</c:v>
                </c:pt>
                <c:pt idx="1">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9662-4647-9BB4-C5D456D4C707}"/>
            </c:ext>
          </c:extLst>
        </c:ser>
        <c:ser>
          <c:idx val="2"/>
          <c:order val="2"/>
          <c:tx>
            <c:strRef>
              <c:f>Inactive!$C$94</c:f>
              <c:strCache>
                <c:ptCount val="1"/>
              </c:strCache>
            </c:strRef>
          </c:tx>
          <c:spPr>
            <a:solidFill>
              <a:srgbClr val="E87308"/>
            </a:solidFill>
          </c:spPr>
          <c:invertIfNegative val="0"/>
          <c:cat>
            <c:numRef>
              <c:f>Inactive!$D$91:$M$91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Inactive!$D$94:$M$94</c:f>
              <c:numCache>
                <c:formatCode>0%</c:formatCode>
                <c:ptCount val="10"/>
                <c:pt idx="0">
                  <c:v>0</c:v>
                </c:pt>
                <c:pt idx="1">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9662-4647-9BB4-C5D456D4C707}"/>
            </c:ext>
          </c:extLst>
        </c:ser>
        <c:ser>
          <c:idx val="3"/>
          <c:order val="3"/>
          <c:tx>
            <c:strRef>
              <c:f>Inactive!$C$95</c:f>
              <c:strCache>
                <c:ptCount val="1"/>
              </c:strCache>
            </c:strRef>
          </c:tx>
          <c:spPr>
            <a:solidFill>
              <a:srgbClr val="55585A"/>
            </a:solidFill>
          </c:spPr>
          <c:invertIfNegative val="0"/>
          <c:cat>
            <c:numRef>
              <c:f>Inactive!$D$91:$M$91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Inactive!$D$95:$M$95</c:f>
              <c:numCache>
                <c:formatCode>0%</c:formatCode>
                <c:ptCount val="10"/>
                <c:pt idx="0">
                  <c:v>0</c:v>
                </c:pt>
                <c:pt idx="1">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9662-4647-9BB4-C5D456D4C707}"/>
            </c:ext>
          </c:extLst>
        </c:ser>
        <c:ser>
          <c:idx val="4"/>
          <c:order val="4"/>
          <c:tx>
            <c:strRef>
              <c:f>Inactive!$C$96</c:f>
              <c:strCache>
                <c:ptCount val="1"/>
              </c:strCache>
            </c:strRef>
          </c:tx>
          <c:spPr>
            <a:solidFill>
              <a:srgbClr val="51AA81"/>
            </a:solidFill>
          </c:spPr>
          <c:invertIfNegative val="0"/>
          <c:cat>
            <c:numRef>
              <c:f>Inactive!$D$91:$M$91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Inactive!$D$96:$M$96</c:f>
              <c:numCache>
                <c:formatCode>0%</c:formatCode>
                <c:ptCount val="10"/>
                <c:pt idx="0">
                  <c:v>0</c:v>
                </c:pt>
                <c:pt idx="1">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9662-4647-9BB4-C5D456D4C707}"/>
            </c:ext>
          </c:extLst>
        </c:ser>
        <c:ser>
          <c:idx val="5"/>
          <c:order val="5"/>
          <c:tx>
            <c:strRef>
              <c:f>Inactive!$C$97</c:f>
              <c:strCache>
                <c:ptCount val="1"/>
              </c:strCache>
            </c:strRef>
          </c:tx>
          <c:spPr>
            <a:solidFill>
              <a:srgbClr val="E84A35"/>
            </a:solidFill>
          </c:spPr>
          <c:invertIfNegative val="0"/>
          <c:cat>
            <c:numRef>
              <c:f>Inactive!$D$91:$M$91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Inactive!$D$97:$M$97</c:f>
              <c:numCache>
                <c:formatCode>0%</c:formatCode>
                <c:ptCount val="10"/>
                <c:pt idx="0">
                  <c:v>0</c:v>
                </c:pt>
                <c:pt idx="1">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9662-4647-9BB4-C5D456D4C707}"/>
            </c:ext>
          </c:extLst>
        </c:ser>
        <c:ser>
          <c:idx val="6"/>
          <c:order val="6"/>
          <c:tx>
            <c:strRef>
              <c:f>Inactive!$C$98</c:f>
              <c:strCache>
                <c:ptCount val="1"/>
              </c:strCache>
            </c:strRef>
          </c:tx>
          <c:invertIfNegative val="0"/>
          <c:cat>
            <c:numRef>
              <c:f>Inactive!$D$91:$M$91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Inactive!$D$98:$M$98</c:f>
              <c:numCache>
                <c:formatCode>0%</c:formatCode>
                <c:ptCount val="10"/>
                <c:pt idx="0">
                  <c:v>0</c:v>
                </c:pt>
                <c:pt idx="1">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9662-4647-9BB4-C5D456D4C707}"/>
            </c:ext>
          </c:extLst>
        </c:ser>
        <c:ser>
          <c:idx val="7"/>
          <c:order val="7"/>
          <c:tx>
            <c:strRef>
              <c:f>Inactive!$C$99</c:f>
              <c:strCache>
                <c:ptCount val="1"/>
              </c:strCache>
            </c:strRef>
          </c:tx>
          <c:invertIfNegative val="0"/>
          <c:cat>
            <c:numRef>
              <c:f>Inactive!$D$91:$M$91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Inactive!$D$99:$M$99</c:f>
              <c:numCache>
                <c:formatCode>0%</c:formatCode>
                <c:ptCount val="10"/>
                <c:pt idx="0">
                  <c:v>0</c:v>
                </c:pt>
                <c:pt idx="1">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9662-4647-9BB4-C5D456D4C707}"/>
            </c:ext>
          </c:extLst>
        </c:ser>
        <c:ser>
          <c:idx val="8"/>
          <c:order val="8"/>
          <c:tx>
            <c:strRef>
              <c:f>Inactive!$C$100</c:f>
              <c:strCache>
                <c:ptCount val="1"/>
              </c:strCache>
            </c:strRef>
          </c:tx>
          <c:invertIfNegative val="0"/>
          <c:cat>
            <c:numRef>
              <c:f>Inactive!$D$91:$M$91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Inactive!$D$100:$M$100</c:f>
              <c:numCache>
                <c:formatCode>0%</c:formatCode>
                <c:ptCount val="10"/>
                <c:pt idx="0">
                  <c:v>0</c:v>
                </c:pt>
                <c:pt idx="1">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9662-4647-9BB4-C5D456D4C707}"/>
            </c:ext>
          </c:extLst>
        </c:ser>
        <c:ser>
          <c:idx val="9"/>
          <c:order val="9"/>
          <c:tx>
            <c:strRef>
              <c:f>Inactive!$C$101</c:f>
              <c:strCache>
                <c:ptCount val="1"/>
              </c:strCache>
            </c:strRef>
          </c:tx>
          <c:invertIfNegative val="0"/>
          <c:cat>
            <c:numRef>
              <c:f>Inactive!$D$91:$M$91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Inactive!$D$101:$M$101</c:f>
              <c:numCache>
                <c:formatCode>0%</c:formatCode>
                <c:ptCount val="10"/>
                <c:pt idx="0">
                  <c:v>0</c:v>
                </c:pt>
                <c:pt idx="1">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9662-4647-9BB4-C5D456D4C707}"/>
            </c:ext>
          </c:extLst>
        </c:ser>
        <c:ser>
          <c:idx val="10"/>
          <c:order val="10"/>
          <c:tx>
            <c:strRef>
              <c:f>Inactive!$C$102</c:f>
              <c:strCache>
                <c:ptCount val="1"/>
              </c:strCache>
            </c:strRef>
          </c:tx>
          <c:invertIfNegative val="0"/>
          <c:cat>
            <c:numRef>
              <c:f>Inactive!$D$91:$M$91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Inactive!$D$102:$M$102</c:f>
              <c:numCache>
                <c:formatCode>0%</c:formatCode>
                <c:ptCount val="10"/>
                <c:pt idx="0">
                  <c:v>0</c:v>
                </c:pt>
                <c:pt idx="1">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9662-4647-9BB4-C5D456D4C707}"/>
            </c:ext>
          </c:extLst>
        </c:ser>
        <c:ser>
          <c:idx val="11"/>
          <c:order val="11"/>
          <c:tx>
            <c:strRef>
              <c:f>Inactive!$C$103</c:f>
              <c:strCache>
                <c:ptCount val="1"/>
              </c:strCache>
            </c:strRef>
          </c:tx>
          <c:invertIfNegative val="0"/>
          <c:cat>
            <c:numRef>
              <c:f>Inactive!$D$91:$M$91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Inactive!$D$103:$M$103</c:f>
              <c:numCache>
                <c:formatCode>0%</c:formatCode>
                <c:ptCount val="10"/>
                <c:pt idx="0">
                  <c:v>0</c:v>
                </c:pt>
                <c:pt idx="1">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B-9662-4647-9BB4-C5D456D4C707}"/>
            </c:ext>
          </c:extLst>
        </c:ser>
        <c:ser>
          <c:idx val="12"/>
          <c:order val="12"/>
          <c:tx>
            <c:strRef>
              <c:f>Inactive!$C$104</c:f>
              <c:strCache>
                <c:ptCount val="1"/>
              </c:strCache>
            </c:strRef>
          </c:tx>
          <c:invertIfNegative val="0"/>
          <c:cat>
            <c:numRef>
              <c:f>Inactive!$D$91:$M$91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Inactive!$D$104:$M$104</c:f>
              <c:numCache>
                <c:formatCode>0%</c:formatCode>
                <c:ptCount val="10"/>
                <c:pt idx="0">
                  <c:v>0</c:v>
                </c:pt>
                <c:pt idx="1">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C-9662-4647-9BB4-C5D456D4C707}"/>
            </c:ext>
          </c:extLst>
        </c:ser>
        <c:ser>
          <c:idx val="13"/>
          <c:order val="13"/>
          <c:tx>
            <c:strRef>
              <c:f>Inactive!$C$105</c:f>
              <c:strCache>
                <c:ptCount val="1"/>
              </c:strCache>
            </c:strRef>
          </c:tx>
          <c:invertIfNegative val="0"/>
          <c:cat>
            <c:numRef>
              <c:f>Inactive!$D$91:$M$91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Inactive!$D$105:$M$105</c:f>
              <c:numCache>
                <c:formatCode>0%</c:formatCode>
                <c:ptCount val="10"/>
                <c:pt idx="0">
                  <c:v>0</c:v>
                </c:pt>
                <c:pt idx="1">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9662-4647-9BB4-C5D456D4C707}"/>
            </c:ext>
          </c:extLst>
        </c:ser>
        <c:ser>
          <c:idx val="14"/>
          <c:order val="14"/>
          <c:tx>
            <c:strRef>
              <c:f>Inactive!$C$106</c:f>
              <c:strCache>
                <c:ptCount val="1"/>
              </c:strCache>
            </c:strRef>
          </c:tx>
          <c:invertIfNegative val="0"/>
          <c:cat>
            <c:numRef>
              <c:f>Inactive!$D$91:$M$91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Inactive!$D$106:$M$106</c:f>
              <c:numCache>
                <c:formatCode>0%</c:formatCode>
                <c:ptCount val="10"/>
                <c:pt idx="0">
                  <c:v>0</c:v>
                </c:pt>
                <c:pt idx="1">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E-9662-4647-9BB4-C5D456D4C707}"/>
            </c:ext>
          </c:extLst>
        </c:ser>
        <c:ser>
          <c:idx val="15"/>
          <c:order val="15"/>
          <c:tx>
            <c:strRef>
              <c:f>Inactive!$C$107</c:f>
              <c:strCache>
                <c:ptCount val="1"/>
              </c:strCache>
            </c:strRef>
          </c:tx>
          <c:invertIfNegative val="0"/>
          <c:cat>
            <c:numRef>
              <c:f>Inactive!$D$91:$M$91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Inactive!$D$107:$M$107</c:f>
              <c:numCache>
                <c:formatCode>0%</c:formatCode>
                <c:ptCount val="10"/>
                <c:pt idx="0">
                  <c:v>0</c:v>
                </c:pt>
                <c:pt idx="1">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F-9662-4647-9BB4-C5D456D4C707}"/>
            </c:ext>
          </c:extLst>
        </c:ser>
        <c:ser>
          <c:idx val="16"/>
          <c:order val="16"/>
          <c:tx>
            <c:strRef>
              <c:f>Inactive!$C$108</c:f>
              <c:strCache>
                <c:ptCount val="1"/>
              </c:strCache>
            </c:strRef>
          </c:tx>
          <c:invertIfNegative val="0"/>
          <c:cat>
            <c:numRef>
              <c:f>Inactive!$D$91:$M$91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Inactive!$D$108:$M$108</c:f>
              <c:numCache>
                <c:formatCode>0%</c:formatCode>
                <c:ptCount val="10"/>
                <c:pt idx="0">
                  <c:v>0</c:v>
                </c:pt>
                <c:pt idx="1">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0-9662-4647-9BB4-C5D456D4C707}"/>
            </c:ext>
          </c:extLst>
        </c:ser>
        <c:ser>
          <c:idx val="17"/>
          <c:order val="17"/>
          <c:tx>
            <c:strRef>
              <c:f>Inactive!$C$109</c:f>
              <c:strCache>
                <c:ptCount val="1"/>
              </c:strCache>
            </c:strRef>
          </c:tx>
          <c:invertIfNegative val="0"/>
          <c:cat>
            <c:numRef>
              <c:f>Inactive!$D$91:$M$91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Inactive!$D$109:$M$109</c:f>
              <c:numCache>
                <c:formatCode>0%</c:formatCode>
                <c:ptCount val="10"/>
                <c:pt idx="0">
                  <c:v>0</c:v>
                </c:pt>
                <c:pt idx="1">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1-9662-4647-9BB4-C5D456D4C707}"/>
            </c:ext>
          </c:extLst>
        </c:ser>
        <c:ser>
          <c:idx val="18"/>
          <c:order val="18"/>
          <c:tx>
            <c:strRef>
              <c:f>Inactive!$C$110</c:f>
              <c:strCache>
                <c:ptCount val="1"/>
              </c:strCache>
            </c:strRef>
          </c:tx>
          <c:invertIfNegative val="0"/>
          <c:cat>
            <c:numRef>
              <c:f>Inactive!$D$91:$M$91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Inactive!$D$110:$M$110</c:f>
              <c:numCache>
                <c:formatCode>0%</c:formatCode>
                <c:ptCount val="10"/>
                <c:pt idx="0">
                  <c:v>0</c:v>
                </c:pt>
                <c:pt idx="1">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9662-4647-9BB4-C5D456D4C707}"/>
            </c:ext>
          </c:extLst>
        </c:ser>
        <c:ser>
          <c:idx val="19"/>
          <c:order val="19"/>
          <c:tx>
            <c:strRef>
              <c:f>Inactive!$C$111</c:f>
              <c:strCache>
                <c:ptCount val="1"/>
              </c:strCache>
            </c:strRef>
          </c:tx>
          <c:invertIfNegative val="0"/>
          <c:cat>
            <c:numRef>
              <c:f>Inactive!$D$91:$M$91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Inactive!$D$111:$M$111</c:f>
              <c:numCache>
                <c:formatCode>0%</c:formatCode>
                <c:ptCount val="10"/>
                <c:pt idx="0">
                  <c:v>0</c:v>
                </c:pt>
                <c:pt idx="1">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3-9662-4647-9BB4-C5D456D4C707}"/>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Inactive!$N$163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Inactive!$B$162</c:f>
              <c:strCache>
                <c:ptCount val="1"/>
              </c:strCache>
            </c:strRef>
          </c:tx>
          <c:spPr>
            <a:solidFill>
              <a:srgbClr val="2273B9"/>
            </a:solidFill>
          </c:spPr>
          <c:invertIfNegative val="0"/>
          <c:cat>
            <c:strRef>
              <c:f>Inactive!$C$161:$E$161</c:f>
              <c:strCache>
                <c:ptCount val="3"/>
                <c:pt idx="0">
                  <c:v>Most
profitable
quartile</c:v>
                </c:pt>
                <c:pt idx="1">
                  <c:v>Middle 
two quartiles</c:v>
                </c:pt>
                <c:pt idx="2">
                  <c:v>Least
profitable
quartile</c:v>
                </c:pt>
              </c:strCache>
            </c:strRef>
          </c:cat>
          <c:val>
            <c:numRef>
              <c:f>Inactive!$C$162:$E$162</c:f>
              <c:numCache>
                <c:formatCode>0%</c:formatCode>
                <c:ptCount val="3"/>
                <c:pt idx="0">
                  <c:v>0</c:v>
                </c:pt>
                <c:pt idx="1">
                  <c:v>0</c:v>
                </c:pt>
                <c:pt idx="2">
                  <c:v>0</c:v>
                </c:pt>
              </c:numCache>
            </c:numRef>
          </c:val>
          <c:extLst>
            <c:ext xmlns:c16="http://schemas.microsoft.com/office/drawing/2014/chart" uri="{C3380CC4-5D6E-409C-BE32-E72D297353CC}">
              <c16:uniqueId val="{00000000-5AA3-4E9D-9114-0E8EBBE1D392}"/>
            </c:ext>
          </c:extLst>
        </c:ser>
        <c:ser>
          <c:idx val="1"/>
          <c:order val="1"/>
          <c:tx>
            <c:strRef>
              <c:f>Inactive!$B$163</c:f>
              <c:strCache>
                <c:ptCount val="1"/>
                <c:pt idx="0">
                  <c:v>Others</c:v>
                </c:pt>
              </c:strCache>
            </c:strRef>
          </c:tx>
          <c:spPr>
            <a:solidFill>
              <a:srgbClr val="FED825"/>
            </a:solidFill>
          </c:spPr>
          <c:invertIfNegative val="0"/>
          <c:cat>
            <c:strRef>
              <c:f>Inactive!$C$161:$E$161</c:f>
              <c:strCache>
                <c:ptCount val="3"/>
                <c:pt idx="0">
                  <c:v>Most
profitable
quartile</c:v>
                </c:pt>
                <c:pt idx="1">
                  <c:v>Middle 
two quartiles</c:v>
                </c:pt>
                <c:pt idx="2">
                  <c:v>Least
profitable
quartile</c:v>
                </c:pt>
              </c:strCache>
            </c:strRef>
          </c:cat>
          <c:val>
            <c:numRef>
              <c:f>Inactive!$C$163:$E$163</c:f>
              <c:numCache>
                <c:formatCode>0%</c:formatCode>
                <c:ptCount val="3"/>
                <c:pt idx="0">
                  <c:v>0</c:v>
                </c:pt>
                <c:pt idx="1">
                  <c:v>0</c:v>
                </c:pt>
                <c:pt idx="2">
                  <c:v>0</c:v>
                </c:pt>
              </c:numCache>
            </c:numRef>
          </c:val>
          <c:extLst>
            <c:ext xmlns:c16="http://schemas.microsoft.com/office/drawing/2014/chart" uri="{C3380CC4-5D6E-409C-BE32-E72D297353CC}">
              <c16:uniqueId val="{00000001-5AA3-4E9D-9114-0E8EBBE1D392}"/>
            </c:ext>
          </c:extLst>
        </c:ser>
        <c:ser>
          <c:idx val="2"/>
          <c:order val="2"/>
          <c:tx>
            <c:strRef>
              <c:f>Inactive!$B$164</c:f>
              <c:strCache>
                <c:ptCount val="1"/>
              </c:strCache>
            </c:strRef>
          </c:tx>
          <c:spPr>
            <a:solidFill>
              <a:srgbClr val="E87308"/>
            </a:solidFill>
          </c:spPr>
          <c:invertIfNegative val="0"/>
          <c:cat>
            <c:strRef>
              <c:f>Inactive!$C$161:$E$161</c:f>
              <c:strCache>
                <c:ptCount val="3"/>
                <c:pt idx="0">
                  <c:v>Most
profitable
quartile</c:v>
                </c:pt>
                <c:pt idx="1">
                  <c:v>Middle 
two quartiles</c:v>
                </c:pt>
                <c:pt idx="2">
                  <c:v>Least
profitable
quartile</c:v>
                </c:pt>
              </c:strCache>
            </c:strRef>
          </c:cat>
          <c:val>
            <c:numRef>
              <c:f>Inactive!$C$164:$E$164</c:f>
              <c:numCache>
                <c:formatCode>0%</c:formatCode>
                <c:ptCount val="3"/>
                <c:pt idx="0">
                  <c:v>0</c:v>
                </c:pt>
                <c:pt idx="1">
                  <c:v>0</c:v>
                </c:pt>
                <c:pt idx="2">
                  <c:v>0</c:v>
                </c:pt>
              </c:numCache>
            </c:numRef>
          </c:val>
          <c:extLst>
            <c:ext xmlns:c16="http://schemas.microsoft.com/office/drawing/2014/chart" uri="{C3380CC4-5D6E-409C-BE32-E72D297353CC}">
              <c16:uniqueId val="{00000002-5AA3-4E9D-9114-0E8EBBE1D392}"/>
            </c:ext>
          </c:extLst>
        </c:ser>
        <c:ser>
          <c:idx val="3"/>
          <c:order val="3"/>
          <c:tx>
            <c:strRef>
              <c:f>Inactive!$B$165</c:f>
              <c:strCache>
                <c:ptCount val="1"/>
              </c:strCache>
            </c:strRef>
          </c:tx>
          <c:spPr>
            <a:solidFill>
              <a:srgbClr val="55585A"/>
            </a:solidFill>
          </c:spPr>
          <c:invertIfNegative val="0"/>
          <c:cat>
            <c:strRef>
              <c:f>Inactive!$C$161:$E$161</c:f>
              <c:strCache>
                <c:ptCount val="3"/>
                <c:pt idx="0">
                  <c:v>Most
profitable
quartile</c:v>
                </c:pt>
                <c:pt idx="1">
                  <c:v>Middle 
two quartiles</c:v>
                </c:pt>
                <c:pt idx="2">
                  <c:v>Least
profitable
quartile</c:v>
                </c:pt>
              </c:strCache>
            </c:strRef>
          </c:cat>
          <c:val>
            <c:numRef>
              <c:f>Inactive!$C$165:$E$165</c:f>
              <c:numCache>
                <c:formatCode>0%</c:formatCode>
                <c:ptCount val="3"/>
                <c:pt idx="0">
                  <c:v>0</c:v>
                </c:pt>
                <c:pt idx="1">
                  <c:v>0</c:v>
                </c:pt>
                <c:pt idx="2">
                  <c:v>0</c:v>
                </c:pt>
              </c:numCache>
            </c:numRef>
          </c:val>
          <c:extLst>
            <c:ext xmlns:c16="http://schemas.microsoft.com/office/drawing/2014/chart" uri="{C3380CC4-5D6E-409C-BE32-E72D297353CC}">
              <c16:uniqueId val="{00000003-5AA3-4E9D-9114-0E8EBBE1D392}"/>
            </c:ext>
          </c:extLst>
        </c:ser>
        <c:ser>
          <c:idx val="4"/>
          <c:order val="4"/>
          <c:tx>
            <c:strRef>
              <c:f>Inactive!$B$166</c:f>
              <c:strCache>
                <c:ptCount val="1"/>
              </c:strCache>
            </c:strRef>
          </c:tx>
          <c:spPr>
            <a:solidFill>
              <a:srgbClr val="51AA81"/>
            </a:solidFill>
          </c:spPr>
          <c:invertIfNegative val="0"/>
          <c:cat>
            <c:strRef>
              <c:f>Inactive!$C$161:$E$161</c:f>
              <c:strCache>
                <c:ptCount val="3"/>
                <c:pt idx="0">
                  <c:v>Most
profitable
quartile</c:v>
                </c:pt>
                <c:pt idx="1">
                  <c:v>Middle 
two quartiles</c:v>
                </c:pt>
                <c:pt idx="2">
                  <c:v>Least
profitable
quartile</c:v>
                </c:pt>
              </c:strCache>
            </c:strRef>
          </c:cat>
          <c:val>
            <c:numRef>
              <c:f>Inactive!$C$166:$E$166</c:f>
              <c:numCache>
                <c:formatCode>0%</c:formatCode>
                <c:ptCount val="3"/>
                <c:pt idx="0">
                  <c:v>0</c:v>
                </c:pt>
                <c:pt idx="1">
                  <c:v>0</c:v>
                </c:pt>
                <c:pt idx="2">
                  <c:v>0</c:v>
                </c:pt>
              </c:numCache>
            </c:numRef>
          </c:val>
          <c:extLst>
            <c:ext xmlns:c16="http://schemas.microsoft.com/office/drawing/2014/chart" uri="{C3380CC4-5D6E-409C-BE32-E72D297353CC}">
              <c16:uniqueId val="{00000004-5AA3-4E9D-9114-0E8EBBE1D392}"/>
            </c:ext>
          </c:extLst>
        </c:ser>
        <c:ser>
          <c:idx val="5"/>
          <c:order val="5"/>
          <c:tx>
            <c:strRef>
              <c:f>Inactive!$B$167</c:f>
              <c:strCache>
                <c:ptCount val="1"/>
              </c:strCache>
            </c:strRef>
          </c:tx>
          <c:spPr>
            <a:solidFill>
              <a:srgbClr val="E84A35"/>
            </a:solidFill>
          </c:spPr>
          <c:invertIfNegative val="0"/>
          <c:cat>
            <c:strRef>
              <c:f>Inactive!$C$161:$E$161</c:f>
              <c:strCache>
                <c:ptCount val="3"/>
                <c:pt idx="0">
                  <c:v>Most
profitable
quartile</c:v>
                </c:pt>
                <c:pt idx="1">
                  <c:v>Middle 
two quartiles</c:v>
                </c:pt>
                <c:pt idx="2">
                  <c:v>Least
profitable
quartile</c:v>
                </c:pt>
              </c:strCache>
            </c:strRef>
          </c:cat>
          <c:val>
            <c:numRef>
              <c:f>Inactive!$C$167:$E$167</c:f>
              <c:numCache>
                <c:formatCode>0%</c:formatCode>
                <c:ptCount val="3"/>
                <c:pt idx="0">
                  <c:v>0</c:v>
                </c:pt>
                <c:pt idx="1">
                  <c:v>0</c:v>
                </c:pt>
                <c:pt idx="2">
                  <c:v>0</c:v>
                </c:pt>
              </c:numCache>
            </c:numRef>
          </c:val>
          <c:extLst>
            <c:ext xmlns:c16="http://schemas.microsoft.com/office/drawing/2014/chart" uri="{C3380CC4-5D6E-409C-BE32-E72D297353CC}">
              <c16:uniqueId val="{00000005-5AA3-4E9D-9114-0E8EBBE1D392}"/>
            </c:ext>
          </c:extLst>
        </c:ser>
        <c:ser>
          <c:idx val="6"/>
          <c:order val="6"/>
          <c:tx>
            <c:strRef>
              <c:f>Inactive!$B$168</c:f>
              <c:strCache>
                <c:ptCount val="1"/>
              </c:strCache>
            </c:strRef>
          </c:tx>
          <c:invertIfNegative val="0"/>
          <c:cat>
            <c:strRef>
              <c:f>Inactive!$C$161:$E$161</c:f>
              <c:strCache>
                <c:ptCount val="3"/>
                <c:pt idx="0">
                  <c:v>Most
profitable
quartile</c:v>
                </c:pt>
                <c:pt idx="1">
                  <c:v>Middle 
two quartiles</c:v>
                </c:pt>
                <c:pt idx="2">
                  <c:v>Least
profitable
quartile</c:v>
                </c:pt>
              </c:strCache>
            </c:strRef>
          </c:cat>
          <c:val>
            <c:numRef>
              <c:f>Inactive!$C$168:$E$168</c:f>
              <c:numCache>
                <c:formatCode>0%</c:formatCode>
                <c:ptCount val="3"/>
                <c:pt idx="0">
                  <c:v>0</c:v>
                </c:pt>
                <c:pt idx="1">
                  <c:v>0</c:v>
                </c:pt>
                <c:pt idx="2">
                  <c:v>0</c:v>
                </c:pt>
              </c:numCache>
            </c:numRef>
          </c:val>
          <c:extLst>
            <c:ext xmlns:c16="http://schemas.microsoft.com/office/drawing/2014/chart" uri="{C3380CC4-5D6E-409C-BE32-E72D297353CC}">
              <c16:uniqueId val="{00000006-5AA3-4E9D-9114-0E8EBBE1D392}"/>
            </c:ext>
          </c:extLst>
        </c:ser>
        <c:ser>
          <c:idx val="7"/>
          <c:order val="7"/>
          <c:tx>
            <c:strRef>
              <c:f>Inactive!$B$169</c:f>
              <c:strCache>
                <c:ptCount val="1"/>
              </c:strCache>
            </c:strRef>
          </c:tx>
          <c:invertIfNegative val="0"/>
          <c:cat>
            <c:strRef>
              <c:f>Inactive!$C$161:$E$161</c:f>
              <c:strCache>
                <c:ptCount val="3"/>
                <c:pt idx="0">
                  <c:v>Most
profitable
quartile</c:v>
                </c:pt>
                <c:pt idx="1">
                  <c:v>Middle 
two quartiles</c:v>
                </c:pt>
                <c:pt idx="2">
                  <c:v>Least
profitable
quartile</c:v>
                </c:pt>
              </c:strCache>
            </c:strRef>
          </c:cat>
          <c:val>
            <c:numRef>
              <c:f>Inactive!$C$169:$E$169</c:f>
              <c:numCache>
                <c:formatCode>0%</c:formatCode>
                <c:ptCount val="3"/>
                <c:pt idx="0">
                  <c:v>0</c:v>
                </c:pt>
                <c:pt idx="1">
                  <c:v>0</c:v>
                </c:pt>
                <c:pt idx="2">
                  <c:v>0</c:v>
                </c:pt>
              </c:numCache>
            </c:numRef>
          </c:val>
          <c:extLst>
            <c:ext xmlns:c16="http://schemas.microsoft.com/office/drawing/2014/chart" uri="{C3380CC4-5D6E-409C-BE32-E72D297353CC}">
              <c16:uniqueId val="{00000007-5AA3-4E9D-9114-0E8EBBE1D392}"/>
            </c:ext>
          </c:extLst>
        </c:ser>
        <c:ser>
          <c:idx val="8"/>
          <c:order val="8"/>
          <c:tx>
            <c:strRef>
              <c:f>Inactive!$B$170</c:f>
              <c:strCache>
                <c:ptCount val="1"/>
              </c:strCache>
            </c:strRef>
          </c:tx>
          <c:invertIfNegative val="0"/>
          <c:cat>
            <c:strRef>
              <c:f>Inactive!$C$161:$E$161</c:f>
              <c:strCache>
                <c:ptCount val="3"/>
                <c:pt idx="0">
                  <c:v>Most
profitable
quartile</c:v>
                </c:pt>
                <c:pt idx="1">
                  <c:v>Middle 
two quartiles</c:v>
                </c:pt>
                <c:pt idx="2">
                  <c:v>Least
profitable
quartile</c:v>
                </c:pt>
              </c:strCache>
            </c:strRef>
          </c:cat>
          <c:val>
            <c:numRef>
              <c:f>Inactive!$C$170:$E$170</c:f>
              <c:numCache>
                <c:formatCode>0%</c:formatCode>
                <c:ptCount val="3"/>
                <c:pt idx="0">
                  <c:v>0</c:v>
                </c:pt>
                <c:pt idx="1">
                  <c:v>0</c:v>
                </c:pt>
                <c:pt idx="2">
                  <c:v>0</c:v>
                </c:pt>
              </c:numCache>
            </c:numRef>
          </c:val>
          <c:extLst>
            <c:ext xmlns:c16="http://schemas.microsoft.com/office/drawing/2014/chart" uri="{C3380CC4-5D6E-409C-BE32-E72D297353CC}">
              <c16:uniqueId val="{00000008-5AA3-4E9D-9114-0E8EBBE1D392}"/>
            </c:ext>
          </c:extLst>
        </c:ser>
        <c:ser>
          <c:idx val="9"/>
          <c:order val="9"/>
          <c:tx>
            <c:strRef>
              <c:f>Inactive!$B$171</c:f>
              <c:strCache>
                <c:ptCount val="1"/>
              </c:strCache>
            </c:strRef>
          </c:tx>
          <c:invertIfNegative val="0"/>
          <c:cat>
            <c:strRef>
              <c:f>Inactive!$C$161:$E$161</c:f>
              <c:strCache>
                <c:ptCount val="3"/>
                <c:pt idx="0">
                  <c:v>Most
profitable
quartile</c:v>
                </c:pt>
                <c:pt idx="1">
                  <c:v>Middle 
two quartiles</c:v>
                </c:pt>
                <c:pt idx="2">
                  <c:v>Least
profitable
quartile</c:v>
                </c:pt>
              </c:strCache>
            </c:strRef>
          </c:cat>
          <c:val>
            <c:numRef>
              <c:f>Inactive!$C$171:$E$171</c:f>
              <c:numCache>
                <c:formatCode>0%</c:formatCode>
                <c:ptCount val="3"/>
                <c:pt idx="0">
                  <c:v>0</c:v>
                </c:pt>
                <c:pt idx="1">
                  <c:v>0</c:v>
                </c:pt>
                <c:pt idx="2">
                  <c:v>0</c:v>
                </c:pt>
              </c:numCache>
            </c:numRef>
          </c:val>
          <c:extLst>
            <c:ext xmlns:c16="http://schemas.microsoft.com/office/drawing/2014/chart" uri="{C3380CC4-5D6E-409C-BE32-E72D297353CC}">
              <c16:uniqueId val="{00000009-5AA3-4E9D-9114-0E8EBBE1D392}"/>
            </c:ext>
          </c:extLst>
        </c:ser>
        <c:ser>
          <c:idx val="10"/>
          <c:order val="10"/>
          <c:tx>
            <c:strRef>
              <c:f>Inactive!$B$172</c:f>
              <c:strCache>
                <c:ptCount val="1"/>
              </c:strCache>
            </c:strRef>
          </c:tx>
          <c:invertIfNegative val="0"/>
          <c:cat>
            <c:strRef>
              <c:f>Inactive!$C$161:$E$161</c:f>
              <c:strCache>
                <c:ptCount val="3"/>
                <c:pt idx="0">
                  <c:v>Most
profitable
quartile</c:v>
                </c:pt>
                <c:pt idx="1">
                  <c:v>Middle 
two quartiles</c:v>
                </c:pt>
                <c:pt idx="2">
                  <c:v>Least
profitable
quartile</c:v>
                </c:pt>
              </c:strCache>
            </c:strRef>
          </c:cat>
          <c:val>
            <c:numRef>
              <c:f>Inactive!$C$172:$E$172</c:f>
              <c:numCache>
                <c:formatCode>0%</c:formatCode>
                <c:ptCount val="3"/>
                <c:pt idx="0">
                  <c:v>0</c:v>
                </c:pt>
                <c:pt idx="1">
                  <c:v>0</c:v>
                </c:pt>
                <c:pt idx="2">
                  <c:v>0</c:v>
                </c:pt>
              </c:numCache>
            </c:numRef>
          </c:val>
          <c:extLst>
            <c:ext xmlns:c16="http://schemas.microsoft.com/office/drawing/2014/chart" uri="{C3380CC4-5D6E-409C-BE32-E72D297353CC}">
              <c16:uniqueId val="{0000000A-5AA3-4E9D-9114-0E8EBBE1D392}"/>
            </c:ext>
          </c:extLst>
        </c:ser>
        <c:ser>
          <c:idx val="11"/>
          <c:order val="11"/>
          <c:tx>
            <c:strRef>
              <c:f>Inactive!$B$173</c:f>
              <c:strCache>
                <c:ptCount val="1"/>
              </c:strCache>
            </c:strRef>
          </c:tx>
          <c:invertIfNegative val="0"/>
          <c:cat>
            <c:strRef>
              <c:f>Inactive!$C$161:$E$161</c:f>
              <c:strCache>
                <c:ptCount val="3"/>
                <c:pt idx="0">
                  <c:v>Most
profitable
quartile</c:v>
                </c:pt>
                <c:pt idx="1">
                  <c:v>Middle 
two quartiles</c:v>
                </c:pt>
                <c:pt idx="2">
                  <c:v>Least
profitable
quartile</c:v>
                </c:pt>
              </c:strCache>
            </c:strRef>
          </c:cat>
          <c:val>
            <c:numRef>
              <c:f>Inactive!$C$173:$E$173</c:f>
              <c:numCache>
                <c:formatCode>0%</c:formatCode>
                <c:ptCount val="3"/>
                <c:pt idx="0">
                  <c:v>0</c:v>
                </c:pt>
                <c:pt idx="1">
                  <c:v>0</c:v>
                </c:pt>
                <c:pt idx="2">
                  <c:v>0</c:v>
                </c:pt>
              </c:numCache>
            </c:numRef>
          </c:val>
          <c:extLst>
            <c:ext xmlns:c16="http://schemas.microsoft.com/office/drawing/2014/chart" uri="{C3380CC4-5D6E-409C-BE32-E72D297353CC}">
              <c16:uniqueId val="{0000000B-5AA3-4E9D-9114-0E8EBBE1D392}"/>
            </c:ext>
          </c:extLst>
        </c:ser>
        <c:ser>
          <c:idx val="12"/>
          <c:order val="12"/>
          <c:tx>
            <c:strRef>
              <c:f>Inactive!$B$174</c:f>
              <c:strCache>
                <c:ptCount val="1"/>
              </c:strCache>
            </c:strRef>
          </c:tx>
          <c:invertIfNegative val="0"/>
          <c:cat>
            <c:strRef>
              <c:f>Inactive!$C$161:$E$161</c:f>
              <c:strCache>
                <c:ptCount val="3"/>
                <c:pt idx="0">
                  <c:v>Most
profitable
quartile</c:v>
                </c:pt>
                <c:pt idx="1">
                  <c:v>Middle 
two quartiles</c:v>
                </c:pt>
                <c:pt idx="2">
                  <c:v>Least
profitable
quartile</c:v>
                </c:pt>
              </c:strCache>
            </c:strRef>
          </c:cat>
          <c:val>
            <c:numRef>
              <c:f>Inactive!$C$174:$E$174</c:f>
              <c:numCache>
                <c:formatCode>0%</c:formatCode>
                <c:ptCount val="3"/>
                <c:pt idx="0">
                  <c:v>0</c:v>
                </c:pt>
                <c:pt idx="1">
                  <c:v>0</c:v>
                </c:pt>
                <c:pt idx="2">
                  <c:v>0</c:v>
                </c:pt>
              </c:numCache>
            </c:numRef>
          </c:val>
          <c:extLst>
            <c:ext xmlns:c16="http://schemas.microsoft.com/office/drawing/2014/chart" uri="{C3380CC4-5D6E-409C-BE32-E72D297353CC}">
              <c16:uniqueId val="{0000000C-5AA3-4E9D-9114-0E8EBBE1D392}"/>
            </c:ext>
          </c:extLst>
        </c:ser>
        <c:ser>
          <c:idx val="13"/>
          <c:order val="13"/>
          <c:tx>
            <c:strRef>
              <c:f>Inactive!$B$175</c:f>
              <c:strCache>
                <c:ptCount val="1"/>
              </c:strCache>
            </c:strRef>
          </c:tx>
          <c:invertIfNegative val="0"/>
          <c:cat>
            <c:strRef>
              <c:f>Inactive!$C$161:$E$161</c:f>
              <c:strCache>
                <c:ptCount val="3"/>
                <c:pt idx="0">
                  <c:v>Most
profitable
quartile</c:v>
                </c:pt>
                <c:pt idx="1">
                  <c:v>Middle 
two quartiles</c:v>
                </c:pt>
                <c:pt idx="2">
                  <c:v>Least
profitable
quartile</c:v>
                </c:pt>
              </c:strCache>
            </c:strRef>
          </c:cat>
          <c:val>
            <c:numRef>
              <c:f>Inactive!$C$175:$E$175</c:f>
              <c:numCache>
                <c:formatCode>0%</c:formatCode>
                <c:ptCount val="3"/>
                <c:pt idx="0">
                  <c:v>0</c:v>
                </c:pt>
                <c:pt idx="1">
                  <c:v>0</c:v>
                </c:pt>
                <c:pt idx="2">
                  <c:v>0</c:v>
                </c:pt>
              </c:numCache>
            </c:numRef>
          </c:val>
          <c:extLst>
            <c:ext xmlns:c16="http://schemas.microsoft.com/office/drawing/2014/chart" uri="{C3380CC4-5D6E-409C-BE32-E72D297353CC}">
              <c16:uniqueId val="{0000000D-5AA3-4E9D-9114-0E8EBBE1D392}"/>
            </c:ext>
          </c:extLst>
        </c:ser>
        <c:ser>
          <c:idx val="14"/>
          <c:order val="14"/>
          <c:tx>
            <c:strRef>
              <c:f>Inactive!$B$176</c:f>
              <c:strCache>
                <c:ptCount val="1"/>
              </c:strCache>
            </c:strRef>
          </c:tx>
          <c:invertIfNegative val="0"/>
          <c:cat>
            <c:strRef>
              <c:f>Inactive!$C$161:$E$161</c:f>
              <c:strCache>
                <c:ptCount val="3"/>
                <c:pt idx="0">
                  <c:v>Most
profitable
quartile</c:v>
                </c:pt>
                <c:pt idx="1">
                  <c:v>Middle 
two quartiles</c:v>
                </c:pt>
                <c:pt idx="2">
                  <c:v>Least
profitable
quartile</c:v>
                </c:pt>
              </c:strCache>
            </c:strRef>
          </c:cat>
          <c:val>
            <c:numRef>
              <c:f>Inactive!$C$176:$E$176</c:f>
              <c:numCache>
                <c:formatCode>0%</c:formatCode>
                <c:ptCount val="3"/>
                <c:pt idx="0">
                  <c:v>0</c:v>
                </c:pt>
                <c:pt idx="1">
                  <c:v>0</c:v>
                </c:pt>
                <c:pt idx="2">
                  <c:v>0</c:v>
                </c:pt>
              </c:numCache>
            </c:numRef>
          </c:val>
          <c:extLst>
            <c:ext xmlns:c16="http://schemas.microsoft.com/office/drawing/2014/chart" uri="{C3380CC4-5D6E-409C-BE32-E72D297353CC}">
              <c16:uniqueId val="{0000000E-5AA3-4E9D-9114-0E8EBBE1D392}"/>
            </c:ext>
          </c:extLst>
        </c:ser>
        <c:ser>
          <c:idx val="15"/>
          <c:order val="15"/>
          <c:tx>
            <c:strRef>
              <c:f>Inactive!$B$177</c:f>
              <c:strCache>
                <c:ptCount val="1"/>
              </c:strCache>
            </c:strRef>
          </c:tx>
          <c:invertIfNegative val="0"/>
          <c:cat>
            <c:strRef>
              <c:f>Inactive!$C$161:$E$161</c:f>
              <c:strCache>
                <c:ptCount val="3"/>
                <c:pt idx="0">
                  <c:v>Most
profitable
quartile</c:v>
                </c:pt>
                <c:pt idx="1">
                  <c:v>Middle 
two quartiles</c:v>
                </c:pt>
                <c:pt idx="2">
                  <c:v>Least
profitable
quartile</c:v>
                </c:pt>
              </c:strCache>
            </c:strRef>
          </c:cat>
          <c:val>
            <c:numRef>
              <c:f>Inactive!$C$177:$E$177</c:f>
              <c:numCache>
                <c:formatCode>0%</c:formatCode>
                <c:ptCount val="3"/>
                <c:pt idx="0">
                  <c:v>0</c:v>
                </c:pt>
                <c:pt idx="1">
                  <c:v>0</c:v>
                </c:pt>
                <c:pt idx="2">
                  <c:v>0</c:v>
                </c:pt>
              </c:numCache>
            </c:numRef>
          </c:val>
          <c:extLst>
            <c:ext xmlns:c16="http://schemas.microsoft.com/office/drawing/2014/chart" uri="{C3380CC4-5D6E-409C-BE32-E72D297353CC}">
              <c16:uniqueId val="{0000000F-5AA3-4E9D-9114-0E8EBBE1D392}"/>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Inactive!$N$164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Inactive!$H$162</c:f>
              <c:strCache>
                <c:ptCount val="1"/>
              </c:strCache>
            </c:strRef>
          </c:tx>
          <c:spPr>
            <a:solidFill>
              <a:srgbClr val="087CBB"/>
            </a:solidFill>
          </c:spPr>
          <c:invertIfNegative val="0"/>
          <c:cat>
            <c:strRef>
              <c:f>Inactive!$I$161:$K$161</c:f>
              <c:strCache>
                <c:ptCount val="3"/>
                <c:pt idx="0">
                  <c:v>Most
profitable
quartile</c:v>
                </c:pt>
                <c:pt idx="1">
                  <c:v>Middle 
two quartiles</c:v>
                </c:pt>
                <c:pt idx="2">
                  <c:v>Least
profitable
quartile</c:v>
                </c:pt>
              </c:strCache>
            </c:strRef>
          </c:cat>
          <c:val>
            <c:numRef>
              <c:f>Inactive!$I$162:$K$162</c:f>
              <c:numCache>
                <c:formatCode>0%</c:formatCode>
                <c:ptCount val="3"/>
                <c:pt idx="0">
                  <c:v>0</c:v>
                </c:pt>
                <c:pt idx="1">
                  <c:v>0</c:v>
                </c:pt>
                <c:pt idx="2">
                  <c:v>0</c:v>
                </c:pt>
              </c:numCache>
            </c:numRef>
          </c:val>
          <c:extLst>
            <c:ext xmlns:c16="http://schemas.microsoft.com/office/drawing/2014/chart" uri="{C3380CC4-5D6E-409C-BE32-E72D297353CC}">
              <c16:uniqueId val="{00000000-CC4A-4CD3-9731-D86E9454D655}"/>
            </c:ext>
          </c:extLst>
        </c:ser>
        <c:ser>
          <c:idx val="1"/>
          <c:order val="1"/>
          <c:tx>
            <c:strRef>
              <c:f>Inactive!$H$163</c:f>
              <c:strCache>
                <c:ptCount val="1"/>
                <c:pt idx="0">
                  <c:v>Others</c:v>
                </c:pt>
              </c:strCache>
            </c:strRef>
          </c:tx>
          <c:spPr>
            <a:solidFill>
              <a:srgbClr val="FED825"/>
            </a:solidFill>
          </c:spPr>
          <c:invertIfNegative val="0"/>
          <c:cat>
            <c:strRef>
              <c:f>Inactive!$I$161:$K$161</c:f>
              <c:strCache>
                <c:ptCount val="3"/>
                <c:pt idx="0">
                  <c:v>Most
profitable
quartile</c:v>
                </c:pt>
                <c:pt idx="1">
                  <c:v>Middle 
two quartiles</c:v>
                </c:pt>
                <c:pt idx="2">
                  <c:v>Least
profitable
quartile</c:v>
                </c:pt>
              </c:strCache>
            </c:strRef>
          </c:cat>
          <c:val>
            <c:numRef>
              <c:f>Inactive!$I$163:$K$163</c:f>
              <c:numCache>
                <c:formatCode>0%</c:formatCode>
                <c:ptCount val="3"/>
                <c:pt idx="0">
                  <c:v>0</c:v>
                </c:pt>
                <c:pt idx="1">
                  <c:v>0</c:v>
                </c:pt>
                <c:pt idx="2">
                  <c:v>0</c:v>
                </c:pt>
              </c:numCache>
            </c:numRef>
          </c:val>
          <c:extLst>
            <c:ext xmlns:c16="http://schemas.microsoft.com/office/drawing/2014/chart" uri="{C3380CC4-5D6E-409C-BE32-E72D297353CC}">
              <c16:uniqueId val="{00000001-CC4A-4CD3-9731-D86E9454D655}"/>
            </c:ext>
          </c:extLst>
        </c:ser>
        <c:ser>
          <c:idx val="2"/>
          <c:order val="2"/>
          <c:tx>
            <c:strRef>
              <c:f>Inactive!$H$164</c:f>
              <c:strCache>
                <c:ptCount val="1"/>
              </c:strCache>
            </c:strRef>
          </c:tx>
          <c:spPr>
            <a:solidFill>
              <a:srgbClr val="E87308"/>
            </a:solidFill>
          </c:spPr>
          <c:invertIfNegative val="0"/>
          <c:cat>
            <c:strRef>
              <c:f>Inactive!$I$161:$K$161</c:f>
              <c:strCache>
                <c:ptCount val="3"/>
                <c:pt idx="0">
                  <c:v>Most
profitable
quartile</c:v>
                </c:pt>
                <c:pt idx="1">
                  <c:v>Middle 
two quartiles</c:v>
                </c:pt>
                <c:pt idx="2">
                  <c:v>Least
profitable
quartile</c:v>
                </c:pt>
              </c:strCache>
            </c:strRef>
          </c:cat>
          <c:val>
            <c:numRef>
              <c:f>Inactive!$I$164:$K$164</c:f>
              <c:numCache>
                <c:formatCode>0%</c:formatCode>
                <c:ptCount val="3"/>
                <c:pt idx="0">
                  <c:v>0</c:v>
                </c:pt>
                <c:pt idx="1">
                  <c:v>0</c:v>
                </c:pt>
                <c:pt idx="2">
                  <c:v>0</c:v>
                </c:pt>
              </c:numCache>
            </c:numRef>
          </c:val>
          <c:extLst>
            <c:ext xmlns:c16="http://schemas.microsoft.com/office/drawing/2014/chart" uri="{C3380CC4-5D6E-409C-BE32-E72D297353CC}">
              <c16:uniqueId val="{00000002-CC4A-4CD3-9731-D86E9454D655}"/>
            </c:ext>
          </c:extLst>
        </c:ser>
        <c:ser>
          <c:idx val="3"/>
          <c:order val="3"/>
          <c:tx>
            <c:strRef>
              <c:f>Inactive!$H$165</c:f>
              <c:strCache>
                <c:ptCount val="1"/>
              </c:strCache>
            </c:strRef>
          </c:tx>
          <c:spPr>
            <a:solidFill>
              <a:srgbClr val="55585A"/>
            </a:solidFill>
          </c:spPr>
          <c:invertIfNegative val="0"/>
          <c:cat>
            <c:strRef>
              <c:f>Inactive!$I$161:$K$161</c:f>
              <c:strCache>
                <c:ptCount val="3"/>
                <c:pt idx="0">
                  <c:v>Most
profitable
quartile</c:v>
                </c:pt>
                <c:pt idx="1">
                  <c:v>Middle 
two quartiles</c:v>
                </c:pt>
                <c:pt idx="2">
                  <c:v>Least
profitable
quartile</c:v>
                </c:pt>
              </c:strCache>
            </c:strRef>
          </c:cat>
          <c:val>
            <c:numRef>
              <c:f>Inactive!$I$165:$K$165</c:f>
              <c:numCache>
                <c:formatCode>0%</c:formatCode>
                <c:ptCount val="3"/>
                <c:pt idx="0">
                  <c:v>0</c:v>
                </c:pt>
                <c:pt idx="1">
                  <c:v>0</c:v>
                </c:pt>
                <c:pt idx="2">
                  <c:v>0</c:v>
                </c:pt>
              </c:numCache>
            </c:numRef>
          </c:val>
          <c:extLst>
            <c:ext xmlns:c16="http://schemas.microsoft.com/office/drawing/2014/chart" uri="{C3380CC4-5D6E-409C-BE32-E72D297353CC}">
              <c16:uniqueId val="{00000003-CC4A-4CD3-9731-D86E9454D655}"/>
            </c:ext>
          </c:extLst>
        </c:ser>
        <c:ser>
          <c:idx val="4"/>
          <c:order val="4"/>
          <c:tx>
            <c:strRef>
              <c:f>Inactive!$H$166</c:f>
              <c:strCache>
                <c:ptCount val="1"/>
              </c:strCache>
            </c:strRef>
          </c:tx>
          <c:spPr>
            <a:solidFill>
              <a:srgbClr val="51AA81"/>
            </a:solidFill>
          </c:spPr>
          <c:invertIfNegative val="0"/>
          <c:cat>
            <c:strRef>
              <c:f>Inactive!$I$161:$K$161</c:f>
              <c:strCache>
                <c:ptCount val="3"/>
                <c:pt idx="0">
                  <c:v>Most
profitable
quartile</c:v>
                </c:pt>
                <c:pt idx="1">
                  <c:v>Middle 
two quartiles</c:v>
                </c:pt>
                <c:pt idx="2">
                  <c:v>Least
profitable
quartile</c:v>
                </c:pt>
              </c:strCache>
            </c:strRef>
          </c:cat>
          <c:val>
            <c:numRef>
              <c:f>Inactive!$I$166:$K$166</c:f>
              <c:numCache>
                <c:formatCode>0%</c:formatCode>
                <c:ptCount val="3"/>
                <c:pt idx="0">
                  <c:v>0</c:v>
                </c:pt>
                <c:pt idx="1">
                  <c:v>0</c:v>
                </c:pt>
                <c:pt idx="2">
                  <c:v>0</c:v>
                </c:pt>
              </c:numCache>
            </c:numRef>
          </c:val>
          <c:extLst>
            <c:ext xmlns:c16="http://schemas.microsoft.com/office/drawing/2014/chart" uri="{C3380CC4-5D6E-409C-BE32-E72D297353CC}">
              <c16:uniqueId val="{00000004-CC4A-4CD3-9731-D86E9454D655}"/>
            </c:ext>
          </c:extLst>
        </c:ser>
        <c:ser>
          <c:idx val="5"/>
          <c:order val="5"/>
          <c:tx>
            <c:strRef>
              <c:f>Inactive!$H$167</c:f>
              <c:strCache>
                <c:ptCount val="1"/>
              </c:strCache>
            </c:strRef>
          </c:tx>
          <c:spPr>
            <a:solidFill>
              <a:srgbClr val="E84A35"/>
            </a:solidFill>
          </c:spPr>
          <c:invertIfNegative val="0"/>
          <c:cat>
            <c:strRef>
              <c:f>Inactive!$I$161:$K$161</c:f>
              <c:strCache>
                <c:ptCount val="3"/>
                <c:pt idx="0">
                  <c:v>Most
profitable
quartile</c:v>
                </c:pt>
                <c:pt idx="1">
                  <c:v>Middle 
two quartiles</c:v>
                </c:pt>
                <c:pt idx="2">
                  <c:v>Least
profitable
quartile</c:v>
                </c:pt>
              </c:strCache>
            </c:strRef>
          </c:cat>
          <c:val>
            <c:numRef>
              <c:f>Inactive!$I$167:$K$167</c:f>
              <c:numCache>
                <c:formatCode>0%</c:formatCode>
                <c:ptCount val="3"/>
                <c:pt idx="0">
                  <c:v>0</c:v>
                </c:pt>
                <c:pt idx="1">
                  <c:v>0</c:v>
                </c:pt>
                <c:pt idx="2">
                  <c:v>0</c:v>
                </c:pt>
              </c:numCache>
            </c:numRef>
          </c:val>
          <c:extLst>
            <c:ext xmlns:c16="http://schemas.microsoft.com/office/drawing/2014/chart" uri="{C3380CC4-5D6E-409C-BE32-E72D297353CC}">
              <c16:uniqueId val="{00000005-CC4A-4CD3-9731-D86E9454D655}"/>
            </c:ext>
          </c:extLst>
        </c:ser>
        <c:ser>
          <c:idx val="6"/>
          <c:order val="6"/>
          <c:tx>
            <c:strRef>
              <c:f>Inactive!$H$168</c:f>
              <c:strCache>
                <c:ptCount val="1"/>
              </c:strCache>
            </c:strRef>
          </c:tx>
          <c:invertIfNegative val="0"/>
          <c:cat>
            <c:strRef>
              <c:f>Inactive!$I$161:$K$161</c:f>
              <c:strCache>
                <c:ptCount val="3"/>
                <c:pt idx="0">
                  <c:v>Most
profitable
quartile</c:v>
                </c:pt>
                <c:pt idx="1">
                  <c:v>Middle 
two quartiles</c:v>
                </c:pt>
                <c:pt idx="2">
                  <c:v>Least
profitable
quartile</c:v>
                </c:pt>
              </c:strCache>
            </c:strRef>
          </c:cat>
          <c:val>
            <c:numRef>
              <c:f>Inactive!$I$168:$K$168</c:f>
              <c:numCache>
                <c:formatCode>0%</c:formatCode>
                <c:ptCount val="3"/>
                <c:pt idx="0">
                  <c:v>0</c:v>
                </c:pt>
                <c:pt idx="1">
                  <c:v>0</c:v>
                </c:pt>
                <c:pt idx="2">
                  <c:v>0</c:v>
                </c:pt>
              </c:numCache>
            </c:numRef>
          </c:val>
          <c:extLst>
            <c:ext xmlns:c16="http://schemas.microsoft.com/office/drawing/2014/chart" uri="{C3380CC4-5D6E-409C-BE32-E72D297353CC}">
              <c16:uniqueId val="{00000006-CC4A-4CD3-9731-D86E9454D655}"/>
            </c:ext>
          </c:extLst>
        </c:ser>
        <c:ser>
          <c:idx val="7"/>
          <c:order val="7"/>
          <c:tx>
            <c:strRef>
              <c:f>Inactive!$H$169</c:f>
              <c:strCache>
                <c:ptCount val="1"/>
              </c:strCache>
            </c:strRef>
          </c:tx>
          <c:invertIfNegative val="0"/>
          <c:cat>
            <c:strRef>
              <c:f>Inactive!$I$161:$K$161</c:f>
              <c:strCache>
                <c:ptCount val="3"/>
                <c:pt idx="0">
                  <c:v>Most
profitable
quartile</c:v>
                </c:pt>
                <c:pt idx="1">
                  <c:v>Middle 
two quartiles</c:v>
                </c:pt>
                <c:pt idx="2">
                  <c:v>Least
profitable
quartile</c:v>
                </c:pt>
              </c:strCache>
            </c:strRef>
          </c:cat>
          <c:val>
            <c:numRef>
              <c:f>Inactive!$I$169:$K$169</c:f>
              <c:numCache>
                <c:formatCode>0%</c:formatCode>
                <c:ptCount val="3"/>
                <c:pt idx="0">
                  <c:v>0</c:v>
                </c:pt>
                <c:pt idx="1">
                  <c:v>0</c:v>
                </c:pt>
                <c:pt idx="2">
                  <c:v>0</c:v>
                </c:pt>
              </c:numCache>
            </c:numRef>
          </c:val>
          <c:extLst>
            <c:ext xmlns:c16="http://schemas.microsoft.com/office/drawing/2014/chart" uri="{C3380CC4-5D6E-409C-BE32-E72D297353CC}">
              <c16:uniqueId val="{00000007-CC4A-4CD3-9731-D86E9454D655}"/>
            </c:ext>
          </c:extLst>
        </c:ser>
        <c:ser>
          <c:idx val="8"/>
          <c:order val="8"/>
          <c:tx>
            <c:strRef>
              <c:f>Inactive!$H$170</c:f>
              <c:strCache>
                <c:ptCount val="1"/>
              </c:strCache>
            </c:strRef>
          </c:tx>
          <c:invertIfNegative val="0"/>
          <c:cat>
            <c:strRef>
              <c:f>Inactive!$I$161:$K$161</c:f>
              <c:strCache>
                <c:ptCount val="3"/>
                <c:pt idx="0">
                  <c:v>Most
profitable
quartile</c:v>
                </c:pt>
                <c:pt idx="1">
                  <c:v>Middle 
two quartiles</c:v>
                </c:pt>
                <c:pt idx="2">
                  <c:v>Least
profitable
quartile</c:v>
                </c:pt>
              </c:strCache>
            </c:strRef>
          </c:cat>
          <c:val>
            <c:numRef>
              <c:f>Inactive!$I$170:$K$170</c:f>
              <c:numCache>
                <c:formatCode>0%</c:formatCode>
                <c:ptCount val="3"/>
                <c:pt idx="0">
                  <c:v>0</c:v>
                </c:pt>
                <c:pt idx="1">
                  <c:v>0</c:v>
                </c:pt>
                <c:pt idx="2">
                  <c:v>0</c:v>
                </c:pt>
              </c:numCache>
            </c:numRef>
          </c:val>
          <c:extLst>
            <c:ext xmlns:c16="http://schemas.microsoft.com/office/drawing/2014/chart" uri="{C3380CC4-5D6E-409C-BE32-E72D297353CC}">
              <c16:uniqueId val="{00000008-CC4A-4CD3-9731-D86E9454D655}"/>
            </c:ext>
          </c:extLst>
        </c:ser>
        <c:ser>
          <c:idx val="9"/>
          <c:order val="9"/>
          <c:tx>
            <c:strRef>
              <c:f>Inactive!$H$171</c:f>
              <c:strCache>
                <c:ptCount val="1"/>
              </c:strCache>
            </c:strRef>
          </c:tx>
          <c:invertIfNegative val="0"/>
          <c:cat>
            <c:strRef>
              <c:f>Inactive!$I$161:$K$161</c:f>
              <c:strCache>
                <c:ptCount val="3"/>
                <c:pt idx="0">
                  <c:v>Most
profitable
quartile</c:v>
                </c:pt>
                <c:pt idx="1">
                  <c:v>Middle 
two quartiles</c:v>
                </c:pt>
                <c:pt idx="2">
                  <c:v>Least
profitable
quartile</c:v>
                </c:pt>
              </c:strCache>
            </c:strRef>
          </c:cat>
          <c:val>
            <c:numRef>
              <c:f>Inactive!$I$171:$K$171</c:f>
              <c:numCache>
                <c:formatCode>0%</c:formatCode>
                <c:ptCount val="3"/>
                <c:pt idx="0">
                  <c:v>0</c:v>
                </c:pt>
                <c:pt idx="1">
                  <c:v>0</c:v>
                </c:pt>
                <c:pt idx="2">
                  <c:v>0</c:v>
                </c:pt>
              </c:numCache>
            </c:numRef>
          </c:val>
          <c:extLst>
            <c:ext xmlns:c16="http://schemas.microsoft.com/office/drawing/2014/chart" uri="{C3380CC4-5D6E-409C-BE32-E72D297353CC}">
              <c16:uniqueId val="{00000009-CC4A-4CD3-9731-D86E9454D655}"/>
            </c:ext>
          </c:extLst>
        </c:ser>
        <c:ser>
          <c:idx val="10"/>
          <c:order val="10"/>
          <c:tx>
            <c:strRef>
              <c:f>Inactive!$H$172</c:f>
              <c:strCache>
                <c:ptCount val="1"/>
              </c:strCache>
            </c:strRef>
          </c:tx>
          <c:invertIfNegative val="0"/>
          <c:cat>
            <c:strRef>
              <c:f>Inactive!$I$161:$K$161</c:f>
              <c:strCache>
                <c:ptCount val="3"/>
                <c:pt idx="0">
                  <c:v>Most
profitable
quartile</c:v>
                </c:pt>
                <c:pt idx="1">
                  <c:v>Middle 
two quartiles</c:v>
                </c:pt>
                <c:pt idx="2">
                  <c:v>Least
profitable
quartile</c:v>
                </c:pt>
              </c:strCache>
            </c:strRef>
          </c:cat>
          <c:val>
            <c:numRef>
              <c:f>Inactive!$I$172:$K$172</c:f>
              <c:numCache>
                <c:formatCode>0%</c:formatCode>
                <c:ptCount val="3"/>
                <c:pt idx="0">
                  <c:v>0</c:v>
                </c:pt>
                <c:pt idx="1">
                  <c:v>0</c:v>
                </c:pt>
                <c:pt idx="2">
                  <c:v>0</c:v>
                </c:pt>
              </c:numCache>
            </c:numRef>
          </c:val>
          <c:extLst>
            <c:ext xmlns:c16="http://schemas.microsoft.com/office/drawing/2014/chart" uri="{C3380CC4-5D6E-409C-BE32-E72D297353CC}">
              <c16:uniqueId val="{0000000A-CC4A-4CD3-9731-D86E9454D655}"/>
            </c:ext>
          </c:extLst>
        </c:ser>
        <c:ser>
          <c:idx val="11"/>
          <c:order val="11"/>
          <c:tx>
            <c:strRef>
              <c:f>Inactive!$H$173</c:f>
              <c:strCache>
                <c:ptCount val="1"/>
              </c:strCache>
            </c:strRef>
          </c:tx>
          <c:invertIfNegative val="0"/>
          <c:cat>
            <c:strRef>
              <c:f>Inactive!$I$161:$K$161</c:f>
              <c:strCache>
                <c:ptCount val="3"/>
                <c:pt idx="0">
                  <c:v>Most
profitable
quartile</c:v>
                </c:pt>
                <c:pt idx="1">
                  <c:v>Middle 
two quartiles</c:v>
                </c:pt>
                <c:pt idx="2">
                  <c:v>Least
profitable
quartile</c:v>
                </c:pt>
              </c:strCache>
            </c:strRef>
          </c:cat>
          <c:val>
            <c:numRef>
              <c:f>Inactive!$I$173:$K$173</c:f>
              <c:numCache>
                <c:formatCode>0%</c:formatCode>
                <c:ptCount val="3"/>
                <c:pt idx="0">
                  <c:v>0</c:v>
                </c:pt>
                <c:pt idx="1">
                  <c:v>0</c:v>
                </c:pt>
                <c:pt idx="2">
                  <c:v>0</c:v>
                </c:pt>
              </c:numCache>
            </c:numRef>
          </c:val>
          <c:extLst>
            <c:ext xmlns:c16="http://schemas.microsoft.com/office/drawing/2014/chart" uri="{C3380CC4-5D6E-409C-BE32-E72D297353CC}">
              <c16:uniqueId val="{0000000B-CC4A-4CD3-9731-D86E9454D655}"/>
            </c:ext>
          </c:extLst>
        </c:ser>
        <c:ser>
          <c:idx val="12"/>
          <c:order val="12"/>
          <c:tx>
            <c:strRef>
              <c:f>Inactive!$H$174</c:f>
              <c:strCache>
                <c:ptCount val="1"/>
              </c:strCache>
            </c:strRef>
          </c:tx>
          <c:invertIfNegative val="0"/>
          <c:cat>
            <c:strRef>
              <c:f>Inactive!$I$161:$K$161</c:f>
              <c:strCache>
                <c:ptCount val="3"/>
                <c:pt idx="0">
                  <c:v>Most
profitable
quartile</c:v>
                </c:pt>
                <c:pt idx="1">
                  <c:v>Middle 
two quartiles</c:v>
                </c:pt>
                <c:pt idx="2">
                  <c:v>Least
profitable
quartile</c:v>
                </c:pt>
              </c:strCache>
            </c:strRef>
          </c:cat>
          <c:val>
            <c:numRef>
              <c:f>Inactive!$I$174:$K$174</c:f>
              <c:numCache>
                <c:formatCode>0%</c:formatCode>
                <c:ptCount val="3"/>
                <c:pt idx="0">
                  <c:v>0</c:v>
                </c:pt>
                <c:pt idx="1">
                  <c:v>0</c:v>
                </c:pt>
                <c:pt idx="2">
                  <c:v>0</c:v>
                </c:pt>
              </c:numCache>
            </c:numRef>
          </c:val>
          <c:extLst>
            <c:ext xmlns:c16="http://schemas.microsoft.com/office/drawing/2014/chart" uri="{C3380CC4-5D6E-409C-BE32-E72D297353CC}">
              <c16:uniqueId val="{0000000C-CC4A-4CD3-9731-D86E9454D655}"/>
            </c:ext>
          </c:extLst>
        </c:ser>
        <c:ser>
          <c:idx val="13"/>
          <c:order val="13"/>
          <c:tx>
            <c:strRef>
              <c:f>Inactive!$H$175</c:f>
              <c:strCache>
                <c:ptCount val="1"/>
              </c:strCache>
            </c:strRef>
          </c:tx>
          <c:invertIfNegative val="0"/>
          <c:cat>
            <c:strRef>
              <c:f>Inactive!$I$161:$K$161</c:f>
              <c:strCache>
                <c:ptCount val="3"/>
                <c:pt idx="0">
                  <c:v>Most
profitable
quartile</c:v>
                </c:pt>
                <c:pt idx="1">
                  <c:v>Middle 
two quartiles</c:v>
                </c:pt>
                <c:pt idx="2">
                  <c:v>Least
profitable
quartile</c:v>
                </c:pt>
              </c:strCache>
            </c:strRef>
          </c:cat>
          <c:val>
            <c:numRef>
              <c:f>Inactive!$I$175:$K$175</c:f>
              <c:numCache>
                <c:formatCode>0%</c:formatCode>
                <c:ptCount val="3"/>
                <c:pt idx="0">
                  <c:v>0</c:v>
                </c:pt>
                <c:pt idx="1">
                  <c:v>0</c:v>
                </c:pt>
                <c:pt idx="2">
                  <c:v>0</c:v>
                </c:pt>
              </c:numCache>
            </c:numRef>
          </c:val>
          <c:extLst>
            <c:ext xmlns:c16="http://schemas.microsoft.com/office/drawing/2014/chart" uri="{C3380CC4-5D6E-409C-BE32-E72D297353CC}">
              <c16:uniqueId val="{0000000D-CC4A-4CD3-9731-D86E9454D655}"/>
            </c:ext>
          </c:extLst>
        </c:ser>
        <c:ser>
          <c:idx val="14"/>
          <c:order val="14"/>
          <c:tx>
            <c:strRef>
              <c:f>Inactive!$H$176</c:f>
              <c:strCache>
                <c:ptCount val="1"/>
              </c:strCache>
            </c:strRef>
          </c:tx>
          <c:invertIfNegative val="0"/>
          <c:cat>
            <c:strRef>
              <c:f>Inactive!$I$161:$K$161</c:f>
              <c:strCache>
                <c:ptCount val="3"/>
                <c:pt idx="0">
                  <c:v>Most
profitable
quartile</c:v>
                </c:pt>
                <c:pt idx="1">
                  <c:v>Middle 
two quartiles</c:v>
                </c:pt>
                <c:pt idx="2">
                  <c:v>Least
profitable
quartile</c:v>
                </c:pt>
              </c:strCache>
            </c:strRef>
          </c:cat>
          <c:val>
            <c:numRef>
              <c:f>Inactive!$I$176:$K$176</c:f>
              <c:numCache>
                <c:formatCode>0%</c:formatCode>
                <c:ptCount val="3"/>
                <c:pt idx="0">
                  <c:v>0</c:v>
                </c:pt>
                <c:pt idx="1">
                  <c:v>0</c:v>
                </c:pt>
                <c:pt idx="2">
                  <c:v>0</c:v>
                </c:pt>
              </c:numCache>
            </c:numRef>
          </c:val>
          <c:extLst>
            <c:ext xmlns:c16="http://schemas.microsoft.com/office/drawing/2014/chart" uri="{C3380CC4-5D6E-409C-BE32-E72D297353CC}">
              <c16:uniqueId val="{0000000E-CC4A-4CD3-9731-D86E9454D655}"/>
            </c:ext>
          </c:extLst>
        </c:ser>
        <c:ser>
          <c:idx val="15"/>
          <c:order val="15"/>
          <c:tx>
            <c:strRef>
              <c:f>Inactive!$H$177</c:f>
              <c:strCache>
                <c:ptCount val="1"/>
              </c:strCache>
            </c:strRef>
          </c:tx>
          <c:invertIfNegative val="0"/>
          <c:cat>
            <c:strRef>
              <c:f>Inactive!$I$161:$K$161</c:f>
              <c:strCache>
                <c:ptCount val="3"/>
                <c:pt idx="0">
                  <c:v>Most
profitable
quartile</c:v>
                </c:pt>
                <c:pt idx="1">
                  <c:v>Middle 
two quartiles</c:v>
                </c:pt>
                <c:pt idx="2">
                  <c:v>Least
profitable
quartile</c:v>
                </c:pt>
              </c:strCache>
            </c:strRef>
          </c:cat>
          <c:val>
            <c:numRef>
              <c:f>Inactive!$I$177:$K$177</c:f>
              <c:numCache>
                <c:formatCode>0%</c:formatCode>
                <c:ptCount val="3"/>
                <c:pt idx="0">
                  <c:v>0</c:v>
                </c:pt>
                <c:pt idx="1">
                  <c:v>0</c:v>
                </c:pt>
                <c:pt idx="2">
                  <c:v>0</c:v>
                </c:pt>
              </c:numCache>
            </c:numRef>
          </c:val>
          <c:extLst>
            <c:ext xmlns:c16="http://schemas.microsoft.com/office/drawing/2014/chart" uri="{C3380CC4-5D6E-409C-BE32-E72D297353CC}">
              <c16:uniqueId val="{0000000F-CC4A-4CD3-9731-D86E9454D655}"/>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Inactive!$K$143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Inactive!$K$139</c:f>
              <c:strCache>
                <c:ptCount val="1"/>
                <c:pt idx="0">
                  <c:v>Total income</c:v>
                </c:pt>
              </c:strCache>
            </c:strRef>
          </c:tx>
          <c:spPr>
            <a:solidFill>
              <a:srgbClr val="087CBB"/>
            </a:solidFill>
            <a:ln>
              <a:solidFill>
                <a:schemeClr val="accent1"/>
              </a:solidFill>
            </a:ln>
          </c:spPr>
          <c:invertIfNegative val="0"/>
          <c:cat>
            <c:strRef>
              <c:f>Inactive!$L$138:$N$138</c:f>
              <c:strCache>
                <c:ptCount val="3"/>
                <c:pt idx="0">
                  <c:v>Most
profitable
quartile</c:v>
                </c:pt>
                <c:pt idx="1">
                  <c:v>Middle
two quartiles</c:v>
                </c:pt>
                <c:pt idx="2">
                  <c:v>Least
profitable
quartile</c:v>
                </c:pt>
              </c:strCache>
            </c:strRef>
          </c:cat>
          <c:val>
            <c:numRef>
              <c:f>Inactive!$L$139:$N$139</c:f>
              <c:numCache>
                <c:formatCode>#,##0</c:formatCode>
                <c:ptCount val="3"/>
                <c:pt idx="0">
                  <c:v>0</c:v>
                </c:pt>
                <c:pt idx="1">
                  <c:v>0</c:v>
                </c:pt>
                <c:pt idx="2">
                  <c:v>0</c:v>
                </c:pt>
              </c:numCache>
            </c:numRef>
          </c:val>
          <c:extLst>
            <c:ext xmlns:c16="http://schemas.microsoft.com/office/drawing/2014/chart" uri="{C3380CC4-5D6E-409C-BE32-E72D297353CC}">
              <c16:uniqueId val="{00000000-B64A-41D6-A044-329020207BC1}"/>
            </c:ext>
          </c:extLst>
        </c:ser>
        <c:ser>
          <c:idx val="1"/>
          <c:order val="1"/>
          <c:tx>
            <c:strRef>
              <c:f>Inactive!$K$140</c:f>
              <c:strCache>
                <c:ptCount val="1"/>
                <c:pt idx="0">
                  <c:v>Operating costs</c:v>
                </c:pt>
              </c:strCache>
            </c:strRef>
          </c:tx>
          <c:spPr>
            <a:solidFill>
              <a:srgbClr val="E87308"/>
            </a:solidFill>
          </c:spPr>
          <c:invertIfNegative val="0"/>
          <c:cat>
            <c:strRef>
              <c:f>Inactive!$L$138:$N$138</c:f>
              <c:strCache>
                <c:ptCount val="3"/>
                <c:pt idx="0">
                  <c:v>Most
profitable
quartile</c:v>
                </c:pt>
                <c:pt idx="1">
                  <c:v>Middle
two quartiles</c:v>
                </c:pt>
                <c:pt idx="2">
                  <c:v>Least
profitable
quartile</c:v>
                </c:pt>
              </c:strCache>
            </c:strRef>
          </c:cat>
          <c:val>
            <c:numRef>
              <c:f>Inactive!$L$140:$N$140</c:f>
              <c:numCache>
                <c:formatCode>#,##0</c:formatCode>
                <c:ptCount val="3"/>
                <c:pt idx="0">
                  <c:v>0</c:v>
                </c:pt>
                <c:pt idx="1">
                  <c:v>0</c:v>
                </c:pt>
                <c:pt idx="2">
                  <c:v>0</c:v>
                </c:pt>
              </c:numCache>
            </c:numRef>
          </c:val>
          <c:extLst>
            <c:ext xmlns:c16="http://schemas.microsoft.com/office/drawing/2014/chart" uri="{C3380CC4-5D6E-409C-BE32-E72D297353CC}">
              <c16:uniqueId val="{00000001-B64A-41D6-A044-329020207BC1}"/>
            </c:ext>
          </c:extLst>
        </c:ser>
        <c:ser>
          <c:idx val="2"/>
          <c:order val="2"/>
          <c:tx>
            <c:strRef>
              <c:f>Inactive!$K$141</c:f>
              <c:strCache>
                <c:ptCount val="1"/>
                <c:pt idx="0">
                  <c:v>Operating profit</c:v>
                </c:pt>
              </c:strCache>
            </c:strRef>
          </c:tx>
          <c:spPr>
            <a:solidFill>
              <a:srgbClr val="51AA81"/>
            </a:solidFill>
          </c:spPr>
          <c:invertIfNegative val="0"/>
          <c:cat>
            <c:strRef>
              <c:f>Inactive!$L$138:$N$138</c:f>
              <c:strCache>
                <c:ptCount val="3"/>
                <c:pt idx="0">
                  <c:v>Most
profitable
quartile</c:v>
                </c:pt>
                <c:pt idx="1">
                  <c:v>Middle
two quartiles</c:v>
                </c:pt>
                <c:pt idx="2">
                  <c:v>Least
profitable
quartile</c:v>
                </c:pt>
              </c:strCache>
            </c:strRef>
          </c:cat>
          <c:val>
            <c:numRef>
              <c:f>Inactive!$L$141:$N$141</c:f>
              <c:numCache>
                <c:formatCode>#,##0</c:formatCode>
                <c:ptCount val="3"/>
                <c:pt idx="0">
                  <c:v>0</c:v>
                </c:pt>
                <c:pt idx="1">
                  <c:v>0</c:v>
                </c:pt>
                <c:pt idx="2">
                  <c:v>0</c:v>
                </c:pt>
              </c:numCache>
            </c:numRef>
          </c:val>
          <c:extLst>
            <c:ext xmlns:c16="http://schemas.microsoft.com/office/drawing/2014/chart" uri="{C3380CC4-5D6E-409C-BE32-E72D297353CC}">
              <c16:uniqueId val="{00000002-B64A-41D6-A044-329020207BC1}"/>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Inactive!$K$142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Longliners!$A$48</c:f>
          <c:strCache>
            <c:ptCount val="1"/>
            <c:pt idx="0">
              <c:v>Landings per kW day at sea (kg)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B5FA-415A-ACB9-7D5A724BBDDD}"/>
              </c:ext>
            </c:extLst>
          </c:dPt>
          <c:dPt>
            <c:idx val="10"/>
            <c:bubble3D val="0"/>
            <c:spPr>
              <a:ln w="57150">
                <a:solidFill>
                  <a:srgbClr val="2273B9"/>
                </a:solidFill>
                <a:prstDash val="sysDot"/>
              </a:ln>
            </c:spPr>
            <c:extLst>
              <c:ext xmlns:c16="http://schemas.microsoft.com/office/drawing/2014/chart" uri="{C3380CC4-5D6E-409C-BE32-E72D297353CC}">
                <c16:uniqueId val="{00000003-B5FA-415A-ACB9-7D5A724BBDDD}"/>
              </c:ext>
            </c:extLst>
          </c:dPt>
          <c:cat>
            <c:numRef>
              <c:f>Longliners!$D$2:$N$2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Longliners!$D$21:$N$21</c:f>
              <c:numCache>
                <c:formatCode>#,##0.00</c:formatCode>
                <c:ptCount val="11"/>
                <c:pt idx="0">
                  <c:v>3.6544083775736826</c:v>
                </c:pt>
                <c:pt idx="1">
                  <c:v>4.6655023255390384</c:v>
                </c:pt>
                <c:pt idx="2">
                  <c:v>4.7045056482036358</c:v>
                </c:pt>
                <c:pt idx="3">
                  <c:v>4.3728080618274978</c:v>
                </c:pt>
                <c:pt idx="4">
                  <c:v>5.0876642892580186</c:v>
                </c:pt>
                <c:pt idx="5">
                  <c:v>4.8498313991493598</c:v>
                </c:pt>
                <c:pt idx="6">
                  <c:v>4.8639463318923015</c:v>
                </c:pt>
                <c:pt idx="7">
                  <c:v>4.0758221067651004</c:v>
                </c:pt>
                <c:pt idx="8">
                  <c:v>2.9088454515240354</c:v>
                </c:pt>
                <c:pt idx="9">
                  <c:v>2.7202502329313405</c:v>
                </c:pt>
                <c:pt idx="10">
                  <c:v>2.3381308460564778</c:v>
                </c:pt>
              </c:numCache>
            </c:numRef>
          </c:val>
          <c:smooth val="0"/>
          <c:extLst>
            <c:ext xmlns:c16="http://schemas.microsoft.com/office/drawing/2014/chart" uri="{C3380CC4-5D6E-409C-BE32-E72D297353CC}">
              <c16:uniqueId val="{00000004-B5FA-415A-ACB9-7D5A724BBDDD}"/>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Longliners!$A$49</c:f>
          <c:strCache>
            <c:ptCount val="1"/>
            <c:pt idx="0">
              <c:v>Fishing income per kW day at sea (£)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59A0-4689-B40A-EF20B6B5063D}"/>
              </c:ext>
            </c:extLst>
          </c:dPt>
          <c:dPt>
            <c:idx val="10"/>
            <c:bubble3D val="0"/>
            <c:spPr>
              <a:ln w="57150">
                <a:solidFill>
                  <a:srgbClr val="648C2E"/>
                </a:solidFill>
                <a:prstDash val="sysDot"/>
              </a:ln>
            </c:spPr>
            <c:extLst>
              <c:ext xmlns:c16="http://schemas.microsoft.com/office/drawing/2014/chart" uri="{C3380CC4-5D6E-409C-BE32-E72D297353CC}">
                <c16:uniqueId val="{00000003-59A0-4689-B40A-EF20B6B5063D}"/>
              </c:ext>
            </c:extLst>
          </c:dPt>
          <c:cat>
            <c:numRef>
              <c:f>Longliners!$D$2:$N$2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Longliners!$D$22:$N$22</c:f>
              <c:numCache>
                <c:formatCode>#,##0.00</c:formatCode>
                <c:ptCount val="11"/>
                <c:pt idx="0">
                  <c:v>9.9321565932604194</c:v>
                </c:pt>
                <c:pt idx="1">
                  <c:v>12.6406492865371</c:v>
                </c:pt>
                <c:pt idx="2">
                  <c:v>14.188712757038999</c:v>
                </c:pt>
                <c:pt idx="3">
                  <c:v>15.0266234267035</c:v>
                </c:pt>
                <c:pt idx="4">
                  <c:v>15.792490557775601</c:v>
                </c:pt>
                <c:pt idx="5">
                  <c:v>16.554353894314399</c:v>
                </c:pt>
                <c:pt idx="6">
                  <c:v>14.9953523346732</c:v>
                </c:pt>
                <c:pt idx="7">
                  <c:v>10.111225536675001</c:v>
                </c:pt>
                <c:pt idx="8">
                  <c:v>7.4522771196827797</c:v>
                </c:pt>
                <c:pt idx="9">
                  <c:v>7.1209203960319396</c:v>
                </c:pt>
                <c:pt idx="10">
                  <c:v>4.8919216416276203</c:v>
                </c:pt>
              </c:numCache>
            </c:numRef>
          </c:val>
          <c:smooth val="0"/>
          <c:extLst>
            <c:ext xmlns:c16="http://schemas.microsoft.com/office/drawing/2014/chart" uri="{C3380CC4-5D6E-409C-BE32-E72D297353CC}">
              <c16:uniqueId val="{00000004-59A0-4689-B40A-EF20B6B5063D}"/>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Longliners!$B$62</c:f>
          <c:strCache>
            <c:ptCount val="1"/>
            <c:pt idx="0">
              <c:v>Total cost per kW day at sea (£)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03E1-4756-A065-DCBFE04C73D2}"/>
              </c:ext>
            </c:extLst>
          </c:dPt>
          <c:dPt>
            <c:idx val="10"/>
            <c:bubble3D val="0"/>
            <c:spPr>
              <a:ln w="57150">
                <a:solidFill>
                  <a:srgbClr val="087CBB"/>
                </a:solidFill>
                <a:prstDash val="sysDot"/>
              </a:ln>
            </c:spPr>
            <c:extLst>
              <c:ext xmlns:c16="http://schemas.microsoft.com/office/drawing/2014/chart" uri="{C3380CC4-5D6E-409C-BE32-E72D297353CC}">
                <c16:uniqueId val="{00000003-03E1-4756-A065-DCBFE04C73D2}"/>
              </c:ext>
            </c:extLst>
          </c:dPt>
          <c:cat>
            <c:numRef>
              <c:f>Longliners!$D$2:$N$2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Longliners!$D$23:$N$23</c:f>
              <c:numCache>
                <c:formatCode>#,##0.00</c:formatCode>
                <c:ptCount val="11"/>
                <c:pt idx="0">
                  <c:v>9.9682819835713907</c:v>
                </c:pt>
                <c:pt idx="1">
                  <c:v>11.436001620361299</c:v>
                </c:pt>
                <c:pt idx="2">
                  <c:v>16.066796029542498</c:v>
                </c:pt>
                <c:pt idx="3">
                  <c:v>13.3352576319229</c:v>
                </c:pt>
                <c:pt idx="4">
                  <c:v>13.7826761214962</c:v>
                </c:pt>
                <c:pt idx="5">
                  <c:v>11.697161709092899</c:v>
                </c:pt>
                <c:pt idx="6">
                  <c:v>10.5545750751309</c:v>
                </c:pt>
                <c:pt idx="7">
                  <c:v>8.8368483683771508</c:v>
                </c:pt>
                <c:pt idx="8">
                  <c:v>6.4580461810333603</c:v>
                </c:pt>
                <c:pt idx="9">
                  <c:v>6.2811549072838098</c:v>
                </c:pt>
                <c:pt idx="10">
                  <c:v>5.391404926650579</c:v>
                </c:pt>
              </c:numCache>
            </c:numRef>
          </c:val>
          <c:smooth val="0"/>
          <c:extLst>
            <c:ext xmlns:c16="http://schemas.microsoft.com/office/drawing/2014/chart" uri="{C3380CC4-5D6E-409C-BE32-E72D297353CC}">
              <c16:uniqueId val="{00000004-03E1-4756-A065-DCBFE04C73D2}"/>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Longliners!$K$48</c:f>
          <c:strCache>
            <c:ptCount val="1"/>
            <c:pt idx="0">
              <c:v>Operating profit per kW day at sea (£)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C0F9-43EF-954B-996CAF1563D1}"/>
              </c:ext>
            </c:extLst>
          </c:dPt>
          <c:dPt>
            <c:idx val="10"/>
            <c:bubble3D val="0"/>
            <c:spPr>
              <a:ln w="57150">
                <a:solidFill>
                  <a:schemeClr val="accent3"/>
                </a:solidFill>
                <a:prstDash val="sysDot"/>
              </a:ln>
            </c:spPr>
            <c:extLst>
              <c:ext xmlns:c16="http://schemas.microsoft.com/office/drawing/2014/chart" uri="{C3380CC4-5D6E-409C-BE32-E72D297353CC}">
                <c16:uniqueId val="{00000003-C0F9-43EF-954B-996CAF1563D1}"/>
              </c:ext>
            </c:extLst>
          </c:dPt>
          <c:cat>
            <c:numRef>
              <c:f>Longliners!$D$2:$N$2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Longliners!$D$24:$N$24</c:f>
              <c:numCache>
                <c:formatCode>#,##0.00</c:formatCode>
                <c:ptCount val="11"/>
                <c:pt idx="0">
                  <c:v>7.1948746119463294E-2</c:v>
                </c:pt>
                <c:pt idx="1">
                  <c:v>1.2973716169481599</c:v>
                </c:pt>
                <c:pt idx="2">
                  <c:v>-1.0451336714299799</c:v>
                </c:pt>
                <c:pt idx="3">
                  <c:v>2.22187787105252</c:v>
                </c:pt>
                <c:pt idx="4">
                  <c:v>2.0932454424808702</c:v>
                </c:pt>
                <c:pt idx="5">
                  <c:v>4.8923790318643903</c:v>
                </c:pt>
                <c:pt idx="6">
                  <c:v>4.4785150872749302</c:v>
                </c:pt>
                <c:pt idx="7">
                  <c:v>1.3506787437844601</c:v>
                </c:pt>
                <c:pt idx="8">
                  <c:v>1.0187777089219101</c:v>
                </c:pt>
                <c:pt idx="9">
                  <c:v>0.97206837827204995</c:v>
                </c:pt>
                <c:pt idx="10">
                  <c:v>-0.35989575207007063</c:v>
                </c:pt>
              </c:numCache>
            </c:numRef>
          </c:val>
          <c:smooth val="0"/>
          <c:extLst>
            <c:ext xmlns:c16="http://schemas.microsoft.com/office/drawing/2014/chart" uri="{C3380CC4-5D6E-409C-BE32-E72D297353CC}">
              <c16:uniqueId val="{00000004-C0F9-43EF-954B-996CAF1563D1}"/>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Longliners!$A$50</c:f>
          <c:strCache>
            <c:ptCount val="1"/>
            <c:pt idx="0">
              <c:v>Average price per tonne landed (£)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AF81-4CC3-9CD8-037F9B6C2220}"/>
              </c:ext>
            </c:extLst>
          </c:dPt>
          <c:dPt>
            <c:idx val="10"/>
            <c:bubble3D val="0"/>
            <c:spPr>
              <a:ln w="57150">
                <a:solidFill>
                  <a:schemeClr val="accent4"/>
                </a:solidFill>
                <a:prstDash val="sysDot"/>
              </a:ln>
            </c:spPr>
            <c:extLst>
              <c:ext xmlns:c16="http://schemas.microsoft.com/office/drawing/2014/chart" uri="{C3380CC4-5D6E-409C-BE32-E72D297353CC}">
                <c16:uniqueId val="{00000003-AF81-4CC3-9CD8-037F9B6C2220}"/>
              </c:ext>
            </c:extLst>
          </c:dPt>
          <c:cat>
            <c:numRef>
              <c:f>Longliners!$D$2:$M$2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Longliners!$D$20:$N$20</c:f>
              <c:numCache>
                <c:formatCode>#,##0</c:formatCode>
                <c:ptCount val="11"/>
                <c:pt idx="0">
                  <c:v>2718</c:v>
                </c:pt>
                <c:pt idx="1">
                  <c:v>2709</c:v>
                </c:pt>
                <c:pt idx="2">
                  <c:v>3016</c:v>
                </c:pt>
                <c:pt idx="3">
                  <c:v>3436</c:v>
                </c:pt>
                <c:pt idx="4">
                  <c:v>3104</c:v>
                </c:pt>
                <c:pt idx="5">
                  <c:v>3413</c:v>
                </c:pt>
                <c:pt idx="6">
                  <c:v>3083</c:v>
                </c:pt>
                <c:pt idx="7">
                  <c:v>2481</c:v>
                </c:pt>
                <c:pt idx="8">
                  <c:v>2562</c:v>
                </c:pt>
                <c:pt idx="9">
                  <c:v>2618</c:v>
                </c:pt>
                <c:pt idx="10">
                  <c:v>2092</c:v>
                </c:pt>
              </c:numCache>
            </c:numRef>
          </c:val>
          <c:smooth val="0"/>
          <c:extLst>
            <c:ext xmlns:c16="http://schemas.microsoft.com/office/drawing/2014/chart" uri="{C3380CC4-5D6E-409C-BE32-E72D297353CC}">
              <c16:uniqueId val="{00000004-AF81-4CC3-9CD8-037F9B6C2220}"/>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demersal trawl'!$K$77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VIIa demersal trawl'!$C$92</c:f>
              <c:strCache>
                <c:ptCount val="1"/>
                <c:pt idx="0">
                  <c:v>Haddock</c:v>
                </c:pt>
              </c:strCache>
            </c:strRef>
          </c:tx>
          <c:spPr>
            <a:solidFill>
              <a:srgbClr val="2273B9"/>
            </a:solidFill>
            <a:ln>
              <a:solidFill>
                <a:srgbClr val="FFFFFF"/>
              </a:solidFill>
            </a:ln>
          </c:spPr>
          <c:invertIfNegative val="0"/>
          <c:cat>
            <c:numRef>
              <c:f>'Area VIIa demersal trawl'!$D$91:$M$91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demersal trawl'!$D$92:$M$92</c:f>
              <c:numCache>
                <c:formatCode>0%</c:formatCode>
                <c:ptCount val="10"/>
                <c:pt idx="3">
                  <c:v>0.18475703770282353</c:v>
                </c:pt>
                <c:pt idx="4">
                  <c:v>0.18509473775805435</c:v>
                </c:pt>
                <c:pt idx="5">
                  <c:v>0.14096411023913055</c:v>
                </c:pt>
                <c:pt idx="6">
                  <c:v>0.31289612791705923</c:v>
                </c:pt>
                <c:pt idx="7">
                  <c:v>0.53611858184830874</c:v>
                </c:pt>
                <c:pt idx="8">
                  <c:v>0.40031335358925452</c:v>
                </c:pt>
                <c:pt idx="9">
                  <c:v>0.52324999093537983</c:v>
                </c:pt>
              </c:numCache>
            </c:numRef>
          </c:val>
          <c:extLst>
            <c:ext xmlns:c16="http://schemas.microsoft.com/office/drawing/2014/chart" uri="{C3380CC4-5D6E-409C-BE32-E72D297353CC}">
              <c16:uniqueId val="{00000000-D822-4E9E-B022-E4A746927724}"/>
            </c:ext>
          </c:extLst>
        </c:ser>
        <c:ser>
          <c:idx val="1"/>
          <c:order val="1"/>
          <c:tx>
            <c:strRef>
              <c:f>'Area VIIa demersal trawl'!$C$93</c:f>
              <c:strCache>
                <c:ptCount val="1"/>
                <c:pt idx="0">
                  <c:v>Nephrops</c:v>
                </c:pt>
              </c:strCache>
            </c:strRef>
          </c:tx>
          <c:spPr>
            <a:solidFill>
              <a:srgbClr val="E87308"/>
            </a:solidFill>
            <a:ln>
              <a:solidFill>
                <a:srgbClr val="FFFFFF"/>
              </a:solidFill>
            </a:ln>
          </c:spPr>
          <c:invertIfNegative val="0"/>
          <c:cat>
            <c:numRef>
              <c:f>'Area VIIa demersal trawl'!$D$91:$M$91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demersal trawl'!$D$93:$M$93</c:f>
              <c:numCache>
                <c:formatCode>0%</c:formatCode>
                <c:ptCount val="10"/>
                <c:pt idx="0">
                  <c:v>0.31736788623828943</c:v>
                </c:pt>
                <c:pt idx="1">
                  <c:v>0.18043164003313855</c:v>
                </c:pt>
                <c:pt idx="2">
                  <c:v>0.26683032314520816</c:v>
                </c:pt>
                <c:pt idx="3">
                  <c:v>0.35806069120247969</c:v>
                </c:pt>
                <c:pt idx="4">
                  <c:v>0.29548537650867479</c:v>
                </c:pt>
                <c:pt idx="5">
                  <c:v>0.32708743049233968</c:v>
                </c:pt>
                <c:pt idx="6">
                  <c:v>0.21896514602187631</c:v>
                </c:pt>
                <c:pt idx="7">
                  <c:v>0.10699198893965008</c:v>
                </c:pt>
                <c:pt idx="8">
                  <c:v>0.17730995019304224</c:v>
                </c:pt>
              </c:numCache>
            </c:numRef>
          </c:val>
          <c:extLst>
            <c:ext xmlns:c16="http://schemas.microsoft.com/office/drawing/2014/chart" uri="{C3380CC4-5D6E-409C-BE32-E72D297353CC}">
              <c16:uniqueId val="{00000001-D822-4E9E-B022-E4A746927724}"/>
            </c:ext>
          </c:extLst>
        </c:ser>
        <c:ser>
          <c:idx val="2"/>
          <c:order val="2"/>
          <c:tx>
            <c:strRef>
              <c:f>'Area VIIa demersal trawl'!$C$94</c:f>
              <c:strCache>
                <c:ptCount val="1"/>
                <c:pt idx="0">
                  <c:v>Cod</c:v>
                </c:pt>
              </c:strCache>
            </c:strRef>
          </c:tx>
          <c:spPr>
            <a:solidFill>
              <a:srgbClr val="648C2E"/>
            </a:solidFill>
            <a:ln>
              <a:solidFill>
                <a:srgbClr val="FFFFFF"/>
              </a:solidFill>
            </a:ln>
          </c:spPr>
          <c:invertIfNegative val="0"/>
          <c:cat>
            <c:numRef>
              <c:f>'Area VIIa demersal trawl'!$D$91:$M$91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demersal trawl'!$D$94:$M$94</c:f>
              <c:numCache>
                <c:formatCode>0%</c:formatCode>
                <c:ptCount val="10"/>
                <c:pt idx="0">
                  <c:v>0.1163470514711494</c:v>
                </c:pt>
                <c:pt idx="1">
                  <c:v>4.1365200959741423E-2</c:v>
                </c:pt>
                <c:pt idx="3">
                  <c:v>1.5140846160567881E-2</c:v>
                </c:pt>
                <c:pt idx="7">
                  <c:v>6.1363132431618832E-2</c:v>
                </c:pt>
                <c:pt idx="8">
                  <c:v>0.11789709249440999</c:v>
                </c:pt>
                <c:pt idx="9">
                  <c:v>0.16447559326582309</c:v>
                </c:pt>
              </c:numCache>
            </c:numRef>
          </c:val>
          <c:extLst>
            <c:ext xmlns:c16="http://schemas.microsoft.com/office/drawing/2014/chart" uri="{C3380CC4-5D6E-409C-BE32-E72D297353CC}">
              <c16:uniqueId val="{00000002-D822-4E9E-B022-E4A746927724}"/>
            </c:ext>
          </c:extLst>
        </c:ser>
        <c:ser>
          <c:idx val="3"/>
          <c:order val="3"/>
          <c:tx>
            <c:strRef>
              <c:f>'Area VIIa demersal trawl'!$C$95</c:f>
              <c:strCache>
                <c:ptCount val="1"/>
                <c:pt idx="0">
                  <c:v>Scallops</c:v>
                </c:pt>
              </c:strCache>
            </c:strRef>
          </c:tx>
          <c:spPr>
            <a:solidFill>
              <a:srgbClr val="C1D119"/>
            </a:solidFill>
            <a:ln>
              <a:solidFill>
                <a:srgbClr val="FFFFFF"/>
              </a:solidFill>
            </a:ln>
          </c:spPr>
          <c:invertIfNegative val="0"/>
          <c:cat>
            <c:numRef>
              <c:f>'Area VIIa demersal trawl'!$D$91:$M$91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demersal trawl'!$D$95:$M$95</c:f>
              <c:numCache>
                <c:formatCode>0%</c:formatCode>
                <c:ptCount val="10"/>
                <c:pt idx="0">
                  <c:v>0.12903557549965072</c:v>
                </c:pt>
                <c:pt idx="1">
                  <c:v>0.20187957031932721</c:v>
                </c:pt>
                <c:pt idx="2">
                  <c:v>0.38733157832894249</c:v>
                </c:pt>
                <c:pt idx="3">
                  <c:v>0.3340953238772762</c:v>
                </c:pt>
                <c:pt idx="4">
                  <c:v>0.33304159522524074</c:v>
                </c:pt>
                <c:pt idx="5">
                  <c:v>0.34433358385336416</c:v>
                </c:pt>
                <c:pt idx="6">
                  <c:v>0.12983451718141792</c:v>
                </c:pt>
                <c:pt idx="7">
                  <c:v>0.1065323825737563</c:v>
                </c:pt>
                <c:pt idx="8">
                  <c:v>7.634136822021341E-2</c:v>
                </c:pt>
                <c:pt idx="9">
                  <c:v>5.0402524773552761E-2</c:v>
                </c:pt>
              </c:numCache>
            </c:numRef>
          </c:val>
          <c:extLst>
            <c:ext xmlns:c16="http://schemas.microsoft.com/office/drawing/2014/chart" uri="{C3380CC4-5D6E-409C-BE32-E72D297353CC}">
              <c16:uniqueId val="{00000003-D822-4E9E-B022-E4A746927724}"/>
            </c:ext>
          </c:extLst>
        </c:ser>
        <c:ser>
          <c:idx val="4"/>
          <c:order val="4"/>
          <c:tx>
            <c:strRef>
              <c:f>'Area VIIa demersal trawl'!$C$96</c:f>
              <c:strCache>
                <c:ptCount val="1"/>
                <c:pt idx="0">
                  <c:v>Hake</c:v>
                </c:pt>
              </c:strCache>
            </c:strRef>
          </c:tx>
          <c:spPr>
            <a:solidFill>
              <a:srgbClr val="E84A38"/>
            </a:solidFill>
            <a:ln>
              <a:solidFill>
                <a:srgbClr val="FFFFFF"/>
              </a:solidFill>
            </a:ln>
          </c:spPr>
          <c:invertIfNegative val="0"/>
          <c:cat>
            <c:numRef>
              <c:f>'Area VIIa demersal trawl'!$D$91:$M$91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demersal trawl'!$D$96:$M$96</c:f>
              <c:numCache>
                <c:formatCode>0%</c:formatCode>
                <c:ptCount val="10"/>
                <c:pt idx="0">
                  <c:v>9.8436575288384454E-2</c:v>
                </c:pt>
                <c:pt idx="5">
                  <c:v>4.5681294881545459E-2</c:v>
                </c:pt>
                <c:pt idx="6">
                  <c:v>8.8635586245856907E-2</c:v>
                </c:pt>
                <c:pt idx="7">
                  <c:v>5.2552667179459236E-2</c:v>
                </c:pt>
                <c:pt idx="8">
                  <c:v>6.990837393673581E-2</c:v>
                </c:pt>
                <c:pt idx="9">
                  <c:v>0.12546043656947875</c:v>
                </c:pt>
              </c:numCache>
            </c:numRef>
          </c:val>
          <c:extLst>
            <c:ext xmlns:c16="http://schemas.microsoft.com/office/drawing/2014/chart" uri="{C3380CC4-5D6E-409C-BE32-E72D297353CC}">
              <c16:uniqueId val="{00000004-D822-4E9E-B022-E4A746927724}"/>
            </c:ext>
          </c:extLst>
        </c:ser>
        <c:ser>
          <c:idx val="5"/>
          <c:order val="5"/>
          <c:tx>
            <c:strRef>
              <c:f>'Area VIIa demersal trawl'!$C$97</c:f>
              <c:strCache>
                <c:ptCount val="1"/>
                <c:pt idx="0">
                  <c:v>Pollack</c:v>
                </c:pt>
              </c:strCache>
            </c:strRef>
          </c:tx>
          <c:spPr>
            <a:solidFill>
              <a:srgbClr val="0F9AA9"/>
            </a:solidFill>
            <a:ln>
              <a:solidFill>
                <a:srgbClr val="FFFFFF"/>
              </a:solidFill>
            </a:ln>
          </c:spPr>
          <c:invertIfNegative val="0"/>
          <c:cat>
            <c:numRef>
              <c:f>'Area VIIa demersal trawl'!$D$91:$M$91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demersal trawl'!$D$97:$M$97</c:f>
              <c:numCache>
                <c:formatCode>0%</c:formatCode>
                <c:ptCount val="10"/>
                <c:pt idx="9">
                  <c:v>3.5341620974467296E-2</c:v>
                </c:pt>
              </c:numCache>
            </c:numRef>
          </c:val>
          <c:extLst>
            <c:ext xmlns:c16="http://schemas.microsoft.com/office/drawing/2014/chart" uri="{C3380CC4-5D6E-409C-BE32-E72D297353CC}">
              <c16:uniqueId val="{00000005-D822-4E9E-B022-E4A746927724}"/>
            </c:ext>
          </c:extLst>
        </c:ser>
        <c:ser>
          <c:idx val="6"/>
          <c:order val="6"/>
          <c:tx>
            <c:strRef>
              <c:f>'Area VIIa demersal trawl'!$C$98</c:f>
              <c:strCache>
                <c:ptCount val="1"/>
                <c:pt idx="0">
                  <c:v>Cuttlefish</c:v>
                </c:pt>
              </c:strCache>
            </c:strRef>
          </c:tx>
          <c:spPr>
            <a:solidFill>
              <a:srgbClr val="FED825"/>
            </a:solidFill>
            <a:ln>
              <a:solidFill>
                <a:srgbClr val="FFFFFF"/>
              </a:solidFill>
            </a:ln>
          </c:spPr>
          <c:invertIfNegative val="0"/>
          <c:cat>
            <c:numRef>
              <c:f>'Area VIIa demersal trawl'!$D$91:$M$91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demersal trawl'!$D$98:$M$98</c:f>
              <c:numCache>
                <c:formatCode>0%</c:formatCode>
                <c:ptCount val="10"/>
                <c:pt idx="6">
                  <c:v>8.7506630479867273E-2</c:v>
                </c:pt>
              </c:numCache>
            </c:numRef>
          </c:val>
          <c:extLst>
            <c:ext xmlns:c16="http://schemas.microsoft.com/office/drawing/2014/chart" uri="{C3380CC4-5D6E-409C-BE32-E72D297353CC}">
              <c16:uniqueId val="{00000006-D822-4E9E-B022-E4A746927724}"/>
            </c:ext>
          </c:extLst>
        </c:ser>
        <c:ser>
          <c:idx val="7"/>
          <c:order val="7"/>
          <c:tx>
            <c:strRef>
              <c:f>'Area VIIa demersal trawl'!$C$99</c:f>
              <c:strCache>
                <c:ptCount val="1"/>
                <c:pt idx="0">
                  <c:v>Brown Crab</c:v>
                </c:pt>
              </c:strCache>
            </c:strRef>
          </c:tx>
          <c:spPr>
            <a:solidFill>
              <a:srgbClr val="707271"/>
            </a:solidFill>
            <a:ln>
              <a:solidFill>
                <a:srgbClr val="FFFFFF"/>
              </a:solidFill>
            </a:ln>
          </c:spPr>
          <c:invertIfNegative val="0"/>
          <c:cat>
            <c:numRef>
              <c:f>'Area VIIa demersal trawl'!$D$91:$M$91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demersal trawl'!$D$99:$M$99</c:f>
              <c:numCache>
                <c:formatCode>0%</c:formatCode>
                <c:ptCount val="10"/>
                <c:pt idx="1">
                  <c:v>0.16313101833014876</c:v>
                </c:pt>
                <c:pt idx="2">
                  <c:v>0.17533836455942456</c:v>
                </c:pt>
                <c:pt idx="3">
                  <c:v>6.188177921772104E-2</c:v>
                </c:pt>
                <c:pt idx="4">
                  <c:v>5.4731063819688765E-2</c:v>
                </c:pt>
                <c:pt idx="5">
                  <c:v>5.6474940217567202E-2</c:v>
                </c:pt>
              </c:numCache>
            </c:numRef>
          </c:val>
          <c:extLst>
            <c:ext xmlns:c16="http://schemas.microsoft.com/office/drawing/2014/chart" uri="{C3380CC4-5D6E-409C-BE32-E72D297353CC}">
              <c16:uniqueId val="{00000007-D822-4E9E-B022-E4A746927724}"/>
            </c:ext>
          </c:extLst>
        </c:ser>
        <c:ser>
          <c:idx val="8"/>
          <c:order val="8"/>
          <c:tx>
            <c:strRef>
              <c:f>'Area VIIa demersal trawl'!$C$100</c:f>
              <c:strCache>
                <c:ptCount val="1"/>
                <c:pt idx="0">
                  <c:v>Queen Scallops</c:v>
                </c:pt>
              </c:strCache>
            </c:strRef>
          </c:tx>
          <c:spPr>
            <a:solidFill>
              <a:srgbClr val="51AA81"/>
            </a:solidFill>
            <a:ln>
              <a:solidFill>
                <a:srgbClr val="FFFFFF"/>
              </a:solidFill>
            </a:ln>
          </c:spPr>
          <c:invertIfNegative val="0"/>
          <c:cat>
            <c:numRef>
              <c:f>'Area VIIa demersal trawl'!$D$91:$M$91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demersal trawl'!$D$100:$M$100</c:f>
              <c:numCache>
                <c:formatCode>0%</c:formatCode>
                <c:ptCount val="10"/>
                <c:pt idx="0">
                  <c:v>8.4958914034422461E-2</c:v>
                </c:pt>
                <c:pt idx="1">
                  <c:v>0.32259537662987819</c:v>
                </c:pt>
                <c:pt idx="2">
                  <c:v>0.11232418758713179</c:v>
                </c:pt>
                <c:pt idx="4">
                  <c:v>4.8271957979587034E-2</c:v>
                </c:pt>
              </c:numCache>
            </c:numRef>
          </c:val>
          <c:extLst>
            <c:ext xmlns:c16="http://schemas.microsoft.com/office/drawing/2014/chart" uri="{C3380CC4-5D6E-409C-BE32-E72D297353CC}">
              <c16:uniqueId val="{00000008-D822-4E9E-B022-E4A746927724}"/>
            </c:ext>
          </c:extLst>
        </c:ser>
        <c:ser>
          <c:idx val="9"/>
          <c:order val="9"/>
          <c:tx>
            <c:strRef>
              <c:f>'Area VIIa demersal trawl'!$C$101</c:f>
              <c:strCache>
                <c:ptCount val="1"/>
                <c:pt idx="0">
                  <c:v>Thornback Ray</c:v>
                </c:pt>
              </c:strCache>
            </c:strRef>
          </c:tx>
          <c:spPr>
            <a:solidFill>
              <a:srgbClr val="169FDB"/>
            </a:solidFill>
            <a:ln>
              <a:solidFill>
                <a:srgbClr val="FFFFFF"/>
              </a:solidFill>
            </a:ln>
          </c:spPr>
          <c:invertIfNegative val="0"/>
          <c:cat>
            <c:numRef>
              <c:f>'Area VIIa demersal trawl'!$D$91:$M$91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demersal trawl'!$D$101:$M$101</c:f>
              <c:numCache>
                <c:formatCode>0%</c:formatCode>
                <c:ptCount val="10"/>
                <c:pt idx="2">
                  <c:v>2.8402393700316105E-2</c:v>
                </c:pt>
              </c:numCache>
            </c:numRef>
          </c:val>
          <c:extLst>
            <c:ext xmlns:c16="http://schemas.microsoft.com/office/drawing/2014/chart" uri="{C3380CC4-5D6E-409C-BE32-E72D297353CC}">
              <c16:uniqueId val="{00000009-D822-4E9E-B022-E4A746927724}"/>
            </c:ext>
          </c:extLst>
        </c:ser>
        <c:ser>
          <c:idx val="10"/>
          <c:order val="10"/>
          <c:tx>
            <c:strRef>
              <c:f>'Area VIIa demersal trawl'!$C$102</c:f>
              <c:strCache>
                <c:ptCount val="1"/>
                <c:pt idx="0">
                  <c:v>Others</c:v>
                </c:pt>
              </c:strCache>
            </c:strRef>
          </c:tx>
          <c:spPr>
            <a:solidFill>
              <a:srgbClr val="55585A"/>
            </a:solidFill>
            <a:ln>
              <a:solidFill>
                <a:srgbClr val="FFFFFF"/>
              </a:solidFill>
            </a:ln>
          </c:spPr>
          <c:invertIfNegative val="0"/>
          <c:cat>
            <c:numRef>
              <c:f>'Area VIIa demersal trawl'!$D$91:$M$91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demersal trawl'!$D$102:$M$102</c:f>
              <c:numCache>
                <c:formatCode>0%</c:formatCode>
                <c:ptCount val="10"/>
                <c:pt idx="0">
                  <c:v>0.2538539974681035</c:v>
                </c:pt>
                <c:pt idx="1">
                  <c:v>9.0597193727765868E-2</c:v>
                </c:pt>
                <c:pt idx="2">
                  <c:v>2.9773152678976875E-2</c:v>
                </c:pt>
                <c:pt idx="3">
                  <c:v>4.6064321839131686E-2</c:v>
                </c:pt>
                <c:pt idx="4">
                  <c:v>8.3375268708754322E-2</c:v>
                </c:pt>
                <c:pt idx="5">
                  <c:v>8.5458640316052936E-2</c:v>
                </c:pt>
                <c:pt idx="6">
                  <c:v>0.16216199215392238</c:v>
                </c:pt>
                <c:pt idx="7">
                  <c:v>0.13644124702720675</c:v>
                </c:pt>
                <c:pt idx="8">
                  <c:v>0.15822986156634403</c:v>
                </c:pt>
                <c:pt idx="9">
                  <c:v>0.10106983348129833</c:v>
                </c:pt>
              </c:numCache>
            </c:numRef>
          </c:val>
          <c:extLst>
            <c:ext xmlns:c16="http://schemas.microsoft.com/office/drawing/2014/chart" uri="{C3380CC4-5D6E-409C-BE32-E72D297353CC}">
              <c16:uniqueId val="{0000000A-D822-4E9E-B022-E4A746927724}"/>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Longliners!$K$62</c:f>
          <c:strCache>
            <c:ptCount val="1"/>
            <c:pt idx="0">
              <c:v>Average annual operating profit per vessel (£'000)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7A4D-4B4A-A0CD-0D2DC80CDA7C}"/>
              </c:ext>
            </c:extLst>
          </c:dPt>
          <c:dPt>
            <c:idx val="10"/>
            <c:bubble3D val="0"/>
            <c:spPr>
              <a:ln w="57150">
                <a:solidFill>
                  <a:schemeClr val="accent5"/>
                </a:solidFill>
                <a:prstDash val="sysDot"/>
              </a:ln>
            </c:spPr>
            <c:extLst>
              <c:ext xmlns:c16="http://schemas.microsoft.com/office/drawing/2014/chart" uri="{C3380CC4-5D6E-409C-BE32-E72D297353CC}">
                <c16:uniqueId val="{00000003-7A4D-4B4A-A0CD-0D2DC80CDA7C}"/>
              </c:ext>
            </c:extLst>
          </c:dPt>
          <c:cat>
            <c:numRef>
              <c:f>Longliners!$D$2:$M$2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Longliners!$D$37:$N$37</c:f>
              <c:numCache>
                <c:formatCode>#,##0.0</c:formatCode>
                <c:ptCount val="11"/>
                <c:pt idx="0">
                  <c:v>4.4000000000000004</c:v>
                </c:pt>
                <c:pt idx="1">
                  <c:v>82.4</c:v>
                </c:pt>
                <c:pt idx="2">
                  <c:v>-51.2</c:v>
                </c:pt>
                <c:pt idx="3">
                  <c:v>118.4</c:v>
                </c:pt>
                <c:pt idx="4">
                  <c:v>119.4</c:v>
                </c:pt>
                <c:pt idx="5">
                  <c:v>344.5</c:v>
                </c:pt>
                <c:pt idx="6">
                  <c:v>325.3</c:v>
                </c:pt>
                <c:pt idx="7">
                  <c:v>97.7</c:v>
                </c:pt>
                <c:pt idx="8">
                  <c:v>72.5</c:v>
                </c:pt>
                <c:pt idx="9">
                  <c:v>62</c:v>
                </c:pt>
                <c:pt idx="10">
                  <c:v>-21.3</c:v>
                </c:pt>
              </c:numCache>
            </c:numRef>
          </c:val>
          <c:smooth val="0"/>
          <c:extLst>
            <c:ext xmlns:c16="http://schemas.microsoft.com/office/drawing/2014/chart" uri="{C3380CC4-5D6E-409C-BE32-E72D297353CC}">
              <c16:uniqueId val="{00000004-7A4D-4B4A-A0CD-0D2DC80CDA7C}"/>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Longliners!$A$76</c:f>
          <c:strCache>
            <c:ptCount val="1"/>
            <c:pt idx="0">
              <c:v>Top 5 landed species by volume in 2019
Longliners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86B8-4231-A22F-7EBA53F34BB3}"/>
              </c:ext>
            </c:extLst>
          </c:dPt>
          <c:dPt>
            <c:idx val="1"/>
            <c:bubble3D val="0"/>
            <c:spPr>
              <a:solidFill>
                <a:srgbClr val="648C2E"/>
              </a:solidFill>
              <a:ln>
                <a:solidFill>
                  <a:srgbClr val="FFFFFF"/>
                </a:solidFill>
              </a:ln>
            </c:spPr>
            <c:extLst>
              <c:ext xmlns:c16="http://schemas.microsoft.com/office/drawing/2014/chart" uri="{C3380CC4-5D6E-409C-BE32-E72D297353CC}">
                <c16:uniqueId val="{00000003-86B8-4231-A22F-7EBA53F34BB3}"/>
              </c:ext>
            </c:extLst>
          </c:dPt>
          <c:dPt>
            <c:idx val="2"/>
            <c:bubble3D val="0"/>
            <c:spPr>
              <a:solidFill>
                <a:srgbClr val="E87308"/>
              </a:solidFill>
              <a:ln>
                <a:solidFill>
                  <a:srgbClr val="FFFFFF"/>
                </a:solidFill>
              </a:ln>
            </c:spPr>
            <c:extLst>
              <c:ext xmlns:c16="http://schemas.microsoft.com/office/drawing/2014/chart" uri="{C3380CC4-5D6E-409C-BE32-E72D297353CC}">
                <c16:uniqueId val="{00000005-86B8-4231-A22F-7EBA53F34BB3}"/>
              </c:ext>
            </c:extLst>
          </c:dPt>
          <c:dPt>
            <c:idx val="3"/>
            <c:bubble3D val="0"/>
            <c:spPr>
              <a:solidFill>
                <a:srgbClr val="C1D119"/>
              </a:solidFill>
              <a:ln>
                <a:solidFill>
                  <a:srgbClr val="FFFFFF"/>
                </a:solidFill>
              </a:ln>
            </c:spPr>
            <c:extLst>
              <c:ext xmlns:c16="http://schemas.microsoft.com/office/drawing/2014/chart" uri="{C3380CC4-5D6E-409C-BE32-E72D297353CC}">
                <c16:uniqueId val="{00000007-86B8-4231-A22F-7EBA53F34BB3}"/>
              </c:ext>
            </c:extLst>
          </c:dPt>
          <c:dPt>
            <c:idx val="4"/>
            <c:bubble3D val="0"/>
            <c:spPr>
              <a:solidFill>
                <a:srgbClr val="0F9AA9"/>
              </a:solidFill>
              <a:ln>
                <a:solidFill>
                  <a:srgbClr val="FFFFFF"/>
                </a:solidFill>
              </a:ln>
            </c:spPr>
            <c:extLst>
              <c:ext xmlns:c16="http://schemas.microsoft.com/office/drawing/2014/chart" uri="{C3380CC4-5D6E-409C-BE32-E72D297353CC}">
                <c16:uniqueId val="{00000009-86B8-4231-A22F-7EBA53F34BB3}"/>
              </c:ext>
            </c:extLst>
          </c:dPt>
          <c:dPt>
            <c:idx val="5"/>
            <c:bubble3D val="0"/>
            <c:spPr>
              <a:solidFill>
                <a:srgbClr val="55585A"/>
              </a:solidFill>
              <a:ln>
                <a:solidFill>
                  <a:srgbClr val="FFFFFF"/>
                </a:solidFill>
              </a:ln>
            </c:spPr>
            <c:extLst>
              <c:ext xmlns:c16="http://schemas.microsoft.com/office/drawing/2014/chart" uri="{C3380CC4-5D6E-409C-BE32-E72D297353CC}">
                <c16:uniqueId val="{0000000B-86B8-4231-A22F-7EBA53F34BB3}"/>
              </c:ext>
            </c:extLst>
          </c:dPt>
          <c:cat>
            <c:strRef>
              <c:f>Longliners!$B$77:$B$82</c:f>
              <c:strCache>
                <c:ptCount val="6"/>
                <c:pt idx="0">
                  <c:v>Hake - 58.3%</c:v>
                </c:pt>
                <c:pt idx="1">
                  <c:v>Ling - 29.3%</c:v>
                </c:pt>
                <c:pt idx="2">
                  <c:v>Razor Clam - 6.3%</c:v>
                </c:pt>
                <c:pt idx="3">
                  <c:v>Scallops - 3.1%</c:v>
                </c:pt>
                <c:pt idx="4">
                  <c:v>Blue Mouth Redfish - 0.8%</c:v>
                </c:pt>
                <c:pt idx="5">
                  <c:v>Others - 2.2%</c:v>
                </c:pt>
              </c:strCache>
            </c:strRef>
          </c:cat>
          <c:val>
            <c:numRef>
              <c:f>Longliners!$C$77:$C$82</c:f>
              <c:numCache>
                <c:formatCode>0.0%</c:formatCode>
                <c:ptCount val="6"/>
                <c:pt idx="0">
                  <c:v>0.58277545990248136</c:v>
                </c:pt>
                <c:pt idx="1">
                  <c:v>0.29271838727055011</c:v>
                </c:pt>
                <c:pt idx="2">
                  <c:v>6.2809719224500349E-2</c:v>
                </c:pt>
                <c:pt idx="3">
                  <c:v>3.1377681061266587E-2</c:v>
                </c:pt>
                <c:pt idx="4">
                  <c:v>8.3251325564708198E-3</c:v>
                </c:pt>
                <c:pt idx="5">
                  <c:v>2.1993619984730706E-2</c:v>
                </c:pt>
              </c:numCache>
            </c:numRef>
          </c:val>
          <c:extLst>
            <c:ext xmlns:c16="http://schemas.microsoft.com/office/drawing/2014/chart" uri="{C3380CC4-5D6E-409C-BE32-E72D297353CC}">
              <c16:uniqueId val="{0000000C-86B8-4231-A22F-7EBA53F34BB3}"/>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Longliners!$F$76</c:f>
          <c:strCache>
            <c:ptCount val="1"/>
            <c:pt idx="0">
              <c:v>Top 5 landed species by value in 2019
Longliners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66FC-45D1-8E1A-E5134E9BF5D4}"/>
              </c:ext>
            </c:extLst>
          </c:dPt>
          <c:dPt>
            <c:idx val="1"/>
            <c:bubble3D val="0"/>
            <c:spPr>
              <a:solidFill>
                <a:srgbClr val="E87308"/>
              </a:solidFill>
              <a:ln>
                <a:solidFill>
                  <a:srgbClr val="FFFFFF"/>
                </a:solidFill>
              </a:ln>
            </c:spPr>
            <c:extLst>
              <c:ext xmlns:c16="http://schemas.microsoft.com/office/drawing/2014/chart" uri="{C3380CC4-5D6E-409C-BE32-E72D297353CC}">
                <c16:uniqueId val="{00000003-66FC-45D1-8E1A-E5134E9BF5D4}"/>
              </c:ext>
            </c:extLst>
          </c:dPt>
          <c:dPt>
            <c:idx val="2"/>
            <c:bubble3D val="0"/>
            <c:spPr>
              <a:solidFill>
                <a:srgbClr val="648C2E"/>
              </a:solidFill>
              <a:ln>
                <a:solidFill>
                  <a:srgbClr val="FFFFFF"/>
                </a:solidFill>
              </a:ln>
            </c:spPr>
            <c:extLst>
              <c:ext xmlns:c16="http://schemas.microsoft.com/office/drawing/2014/chart" uri="{C3380CC4-5D6E-409C-BE32-E72D297353CC}">
                <c16:uniqueId val="{00000005-66FC-45D1-8E1A-E5134E9BF5D4}"/>
              </c:ext>
            </c:extLst>
          </c:dPt>
          <c:dPt>
            <c:idx val="3"/>
            <c:bubble3D val="0"/>
            <c:spPr>
              <a:solidFill>
                <a:srgbClr val="C1D119"/>
              </a:solidFill>
              <a:ln>
                <a:solidFill>
                  <a:srgbClr val="FFFFFF"/>
                </a:solidFill>
              </a:ln>
            </c:spPr>
            <c:extLst>
              <c:ext xmlns:c16="http://schemas.microsoft.com/office/drawing/2014/chart" uri="{C3380CC4-5D6E-409C-BE32-E72D297353CC}">
                <c16:uniqueId val="{00000007-66FC-45D1-8E1A-E5134E9BF5D4}"/>
              </c:ext>
            </c:extLst>
          </c:dPt>
          <c:dPt>
            <c:idx val="4"/>
            <c:bubble3D val="0"/>
            <c:spPr>
              <a:solidFill>
                <a:srgbClr val="E84A38"/>
              </a:solidFill>
              <a:ln>
                <a:solidFill>
                  <a:srgbClr val="FFFFFF"/>
                </a:solidFill>
              </a:ln>
            </c:spPr>
            <c:extLst>
              <c:ext xmlns:c16="http://schemas.microsoft.com/office/drawing/2014/chart" uri="{C3380CC4-5D6E-409C-BE32-E72D297353CC}">
                <c16:uniqueId val="{00000009-66FC-45D1-8E1A-E5134E9BF5D4}"/>
              </c:ext>
            </c:extLst>
          </c:dPt>
          <c:dPt>
            <c:idx val="5"/>
            <c:bubble3D val="0"/>
            <c:spPr>
              <a:solidFill>
                <a:srgbClr val="55585A"/>
              </a:solidFill>
              <a:ln>
                <a:solidFill>
                  <a:srgbClr val="FFFFFF"/>
                </a:solidFill>
              </a:ln>
            </c:spPr>
            <c:extLst>
              <c:ext xmlns:c16="http://schemas.microsoft.com/office/drawing/2014/chart" uri="{C3380CC4-5D6E-409C-BE32-E72D297353CC}">
                <c16:uniqueId val="{0000000B-66FC-45D1-8E1A-E5134E9BF5D4}"/>
              </c:ext>
            </c:extLst>
          </c:dPt>
          <c:cat>
            <c:strRef>
              <c:f>Longliners!$G$77:$G$82</c:f>
              <c:strCache>
                <c:ptCount val="6"/>
                <c:pt idx="0">
                  <c:v>Hake - 55.1%</c:v>
                </c:pt>
                <c:pt idx="1">
                  <c:v>Razor Clam - 19.7%</c:v>
                </c:pt>
                <c:pt idx="2">
                  <c:v>Ling - 18.0%</c:v>
                </c:pt>
                <c:pt idx="3">
                  <c:v>Scallops - 4.7%</c:v>
                </c:pt>
                <c:pt idx="4">
                  <c:v>Pollack - 0.6%</c:v>
                </c:pt>
                <c:pt idx="5">
                  <c:v>Others - 1.9%</c:v>
                </c:pt>
              </c:strCache>
            </c:strRef>
          </c:cat>
          <c:val>
            <c:numRef>
              <c:f>Longliners!$H$77:$H$82</c:f>
              <c:numCache>
                <c:formatCode>0.0%</c:formatCode>
                <c:ptCount val="6"/>
                <c:pt idx="0">
                  <c:v>0.55061638620132158</c:v>
                </c:pt>
                <c:pt idx="1">
                  <c:v>0.19672692190637039</c:v>
                </c:pt>
                <c:pt idx="2">
                  <c:v>0.18017282030369411</c:v>
                </c:pt>
                <c:pt idx="3">
                  <c:v>4.6580204638053548E-2</c:v>
                </c:pt>
                <c:pt idx="4">
                  <c:v>6.4338396994395508E-3</c:v>
                </c:pt>
                <c:pt idx="5">
                  <c:v>1.9469827251120786E-2</c:v>
                </c:pt>
              </c:numCache>
            </c:numRef>
          </c:val>
          <c:extLst>
            <c:ext xmlns:c16="http://schemas.microsoft.com/office/drawing/2014/chart" uri="{C3380CC4-5D6E-409C-BE32-E72D297353CC}">
              <c16:uniqueId val="{0000000C-66FC-45D1-8E1A-E5134E9BF5D4}"/>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Longliners!$K$77</c:f>
          <c:strCache>
            <c:ptCount val="1"/>
            <c:pt idx="0">
              <c:v>Top 5 landed species by value 2011-2020</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Longliners!$C$92</c:f>
              <c:strCache>
                <c:ptCount val="1"/>
                <c:pt idx="0">
                  <c:v>Hake</c:v>
                </c:pt>
              </c:strCache>
            </c:strRef>
          </c:tx>
          <c:spPr>
            <a:solidFill>
              <a:srgbClr val="2273B9"/>
            </a:solidFill>
            <a:ln>
              <a:solidFill>
                <a:srgbClr val="FFFFFF"/>
              </a:solidFill>
            </a:ln>
          </c:spPr>
          <c:invertIfNegative val="0"/>
          <c:cat>
            <c:numRef>
              <c:f>Longliners!$D$91:$M$91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Longliners!$D$92:$M$92</c:f>
              <c:numCache>
                <c:formatCode>0%</c:formatCode>
                <c:ptCount val="10"/>
                <c:pt idx="0">
                  <c:v>0.67004622072472697</c:v>
                </c:pt>
                <c:pt idx="1">
                  <c:v>0.71833552528345601</c:v>
                </c:pt>
                <c:pt idx="2">
                  <c:v>0.77251713704878411</c:v>
                </c:pt>
                <c:pt idx="3">
                  <c:v>0.82886590506460256</c:v>
                </c:pt>
                <c:pt idx="4">
                  <c:v>0.85433518841478073</c:v>
                </c:pt>
                <c:pt idx="5">
                  <c:v>0.85288649757478618</c:v>
                </c:pt>
                <c:pt idx="6">
                  <c:v>0.79342718085751596</c:v>
                </c:pt>
                <c:pt idx="7">
                  <c:v>0.62623878460077564</c:v>
                </c:pt>
                <c:pt idx="8">
                  <c:v>0.55061638620132158</c:v>
                </c:pt>
                <c:pt idx="9">
                  <c:v>0.57856889475223316</c:v>
                </c:pt>
              </c:numCache>
            </c:numRef>
          </c:val>
          <c:extLst>
            <c:ext xmlns:c16="http://schemas.microsoft.com/office/drawing/2014/chart" uri="{C3380CC4-5D6E-409C-BE32-E72D297353CC}">
              <c16:uniqueId val="{00000000-5323-4E8C-9E58-9C729147D7DF}"/>
            </c:ext>
          </c:extLst>
        </c:ser>
        <c:ser>
          <c:idx val="1"/>
          <c:order val="1"/>
          <c:tx>
            <c:strRef>
              <c:f>Longliners!$C$93</c:f>
              <c:strCache>
                <c:ptCount val="1"/>
                <c:pt idx="0">
                  <c:v>Razor Clam</c:v>
                </c:pt>
              </c:strCache>
            </c:strRef>
          </c:tx>
          <c:spPr>
            <a:solidFill>
              <a:srgbClr val="E87308"/>
            </a:solidFill>
            <a:ln>
              <a:solidFill>
                <a:srgbClr val="FFFFFF"/>
              </a:solidFill>
            </a:ln>
          </c:spPr>
          <c:invertIfNegative val="0"/>
          <c:cat>
            <c:numRef>
              <c:f>Longliners!$D$91:$M$91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Longliners!$D$93:$M$93</c:f>
              <c:numCache>
                <c:formatCode>0%</c:formatCode>
                <c:ptCount val="10"/>
                <c:pt idx="0">
                  <c:v>7.4561598130492596E-2</c:v>
                </c:pt>
                <c:pt idx="1">
                  <c:v>7.2430259777672673E-2</c:v>
                </c:pt>
                <c:pt idx="2">
                  <c:v>4.8218504913571207E-2</c:v>
                </c:pt>
                <c:pt idx="3">
                  <c:v>2.773072738886798E-2</c:v>
                </c:pt>
                <c:pt idx="4">
                  <c:v>1.0827484286813585E-2</c:v>
                </c:pt>
                <c:pt idx="5">
                  <c:v>6.1800891198100748E-3</c:v>
                </c:pt>
                <c:pt idx="6">
                  <c:v>4.1713843991407706E-2</c:v>
                </c:pt>
                <c:pt idx="7">
                  <c:v>0.15464122720560539</c:v>
                </c:pt>
                <c:pt idx="8">
                  <c:v>0.19672692190637039</c:v>
                </c:pt>
                <c:pt idx="9">
                  <c:v>0.13586653359255302</c:v>
                </c:pt>
              </c:numCache>
            </c:numRef>
          </c:val>
          <c:extLst>
            <c:ext xmlns:c16="http://schemas.microsoft.com/office/drawing/2014/chart" uri="{C3380CC4-5D6E-409C-BE32-E72D297353CC}">
              <c16:uniqueId val="{00000001-5323-4E8C-9E58-9C729147D7DF}"/>
            </c:ext>
          </c:extLst>
        </c:ser>
        <c:ser>
          <c:idx val="2"/>
          <c:order val="2"/>
          <c:tx>
            <c:strRef>
              <c:f>Longliners!$C$94</c:f>
              <c:strCache>
                <c:ptCount val="1"/>
                <c:pt idx="0">
                  <c:v>Ling</c:v>
                </c:pt>
              </c:strCache>
            </c:strRef>
          </c:tx>
          <c:spPr>
            <a:solidFill>
              <a:srgbClr val="648C2E"/>
            </a:solidFill>
            <a:ln>
              <a:solidFill>
                <a:srgbClr val="FFFFFF"/>
              </a:solidFill>
            </a:ln>
          </c:spPr>
          <c:invertIfNegative val="0"/>
          <c:cat>
            <c:numRef>
              <c:f>Longliners!$D$91:$M$91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Longliners!$D$94:$M$94</c:f>
              <c:numCache>
                <c:formatCode>0%</c:formatCode>
                <c:ptCount val="10"/>
                <c:pt idx="0">
                  <c:v>0.14564332778014563</c:v>
                </c:pt>
                <c:pt idx="1">
                  <c:v>0.1449734939832229</c:v>
                </c:pt>
                <c:pt idx="2">
                  <c:v>9.8627719267732006E-2</c:v>
                </c:pt>
                <c:pt idx="3">
                  <c:v>8.4828384703029266E-2</c:v>
                </c:pt>
                <c:pt idx="4">
                  <c:v>8.6959471584404952E-2</c:v>
                </c:pt>
                <c:pt idx="5">
                  <c:v>8.5779842221989241E-2</c:v>
                </c:pt>
                <c:pt idx="6">
                  <c:v>0.10895526301548693</c:v>
                </c:pt>
                <c:pt idx="7">
                  <c:v>0.13563223483278045</c:v>
                </c:pt>
                <c:pt idx="8">
                  <c:v>0.18017282030369411</c:v>
                </c:pt>
                <c:pt idx="9">
                  <c:v>0.20755226967895982</c:v>
                </c:pt>
              </c:numCache>
            </c:numRef>
          </c:val>
          <c:extLst>
            <c:ext xmlns:c16="http://schemas.microsoft.com/office/drawing/2014/chart" uri="{C3380CC4-5D6E-409C-BE32-E72D297353CC}">
              <c16:uniqueId val="{00000002-5323-4E8C-9E58-9C729147D7DF}"/>
            </c:ext>
          </c:extLst>
        </c:ser>
        <c:ser>
          <c:idx val="3"/>
          <c:order val="3"/>
          <c:tx>
            <c:strRef>
              <c:f>Longliners!$C$95</c:f>
              <c:strCache>
                <c:ptCount val="1"/>
                <c:pt idx="0">
                  <c:v>Scallops</c:v>
                </c:pt>
              </c:strCache>
            </c:strRef>
          </c:tx>
          <c:spPr>
            <a:solidFill>
              <a:srgbClr val="C1D119"/>
            </a:solidFill>
            <a:ln>
              <a:solidFill>
                <a:srgbClr val="FFFFFF"/>
              </a:solidFill>
            </a:ln>
          </c:spPr>
          <c:invertIfNegative val="0"/>
          <c:cat>
            <c:numRef>
              <c:f>Longliners!$D$91:$M$91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Longliners!$D$95:$M$95</c:f>
              <c:numCache>
                <c:formatCode>0%</c:formatCode>
                <c:ptCount val="10"/>
                <c:pt idx="0">
                  <c:v>2.0072938505101501E-2</c:v>
                </c:pt>
                <c:pt idx="1">
                  <c:v>2.3877009852350396E-2</c:v>
                </c:pt>
                <c:pt idx="2">
                  <c:v>2.5070644811656256E-2</c:v>
                </c:pt>
                <c:pt idx="3">
                  <c:v>2.3096498326687028E-2</c:v>
                </c:pt>
                <c:pt idx="4">
                  <c:v>2.8381553718189002E-2</c:v>
                </c:pt>
                <c:pt idx="5">
                  <c:v>3.6748776407222246E-2</c:v>
                </c:pt>
                <c:pt idx="6">
                  <c:v>3.7127212273361167E-2</c:v>
                </c:pt>
                <c:pt idx="7">
                  <c:v>4.5565192425725265E-2</c:v>
                </c:pt>
                <c:pt idx="8">
                  <c:v>4.6580204638053548E-2</c:v>
                </c:pt>
                <c:pt idx="9">
                  <c:v>5.280193840766545E-2</c:v>
                </c:pt>
              </c:numCache>
            </c:numRef>
          </c:val>
          <c:extLst>
            <c:ext xmlns:c16="http://schemas.microsoft.com/office/drawing/2014/chart" uri="{C3380CC4-5D6E-409C-BE32-E72D297353CC}">
              <c16:uniqueId val="{00000003-5323-4E8C-9E58-9C729147D7DF}"/>
            </c:ext>
          </c:extLst>
        </c:ser>
        <c:ser>
          <c:idx val="4"/>
          <c:order val="4"/>
          <c:tx>
            <c:strRef>
              <c:f>Longliners!$C$96</c:f>
              <c:strCache>
                <c:ptCount val="1"/>
                <c:pt idx="0">
                  <c:v>Pollack</c:v>
                </c:pt>
              </c:strCache>
            </c:strRef>
          </c:tx>
          <c:spPr>
            <a:solidFill>
              <a:srgbClr val="E84A38"/>
            </a:solidFill>
            <a:ln>
              <a:solidFill>
                <a:srgbClr val="FFFFFF"/>
              </a:solidFill>
            </a:ln>
          </c:spPr>
          <c:invertIfNegative val="0"/>
          <c:cat>
            <c:numRef>
              <c:f>Longliners!$D$91:$M$91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Longliners!$D$96:$M$96</c:f>
              <c:numCache>
                <c:formatCode>0%</c:formatCode>
                <c:ptCount val="10"/>
                <c:pt idx="8">
                  <c:v>6.4338396994395508E-3</c:v>
                </c:pt>
                <c:pt idx="9">
                  <c:v>1.175157451628956E-2</c:v>
                </c:pt>
              </c:numCache>
            </c:numRef>
          </c:val>
          <c:extLst>
            <c:ext xmlns:c16="http://schemas.microsoft.com/office/drawing/2014/chart" uri="{C3380CC4-5D6E-409C-BE32-E72D297353CC}">
              <c16:uniqueId val="{00000004-5323-4E8C-9E58-9C729147D7DF}"/>
            </c:ext>
          </c:extLst>
        </c:ser>
        <c:ser>
          <c:idx val="5"/>
          <c:order val="5"/>
          <c:tx>
            <c:strRef>
              <c:f>Longliners!$C$97</c:f>
              <c:strCache>
                <c:ptCount val="1"/>
                <c:pt idx="0">
                  <c:v>Anglerfish</c:v>
                </c:pt>
              </c:strCache>
            </c:strRef>
          </c:tx>
          <c:spPr>
            <a:solidFill>
              <a:srgbClr val="0F9AA9"/>
            </a:solidFill>
            <a:ln>
              <a:solidFill>
                <a:srgbClr val="FFFFFF"/>
              </a:solidFill>
            </a:ln>
          </c:spPr>
          <c:invertIfNegative val="0"/>
          <c:cat>
            <c:numRef>
              <c:f>Longliners!$D$91:$M$91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Longliners!$D$97:$M$97</c:f>
              <c:numCache>
                <c:formatCode>0%</c:formatCode>
                <c:ptCount val="10"/>
                <c:pt idx="3">
                  <c:v>9.9895653939406012E-3</c:v>
                </c:pt>
                <c:pt idx="7">
                  <c:v>1.5393710909801709E-2</c:v>
                </c:pt>
              </c:numCache>
            </c:numRef>
          </c:val>
          <c:extLst>
            <c:ext xmlns:c16="http://schemas.microsoft.com/office/drawing/2014/chart" uri="{C3380CC4-5D6E-409C-BE32-E72D297353CC}">
              <c16:uniqueId val="{00000005-5323-4E8C-9E58-9C729147D7DF}"/>
            </c:ext>
          </c:extLst>
        </c:ser>
        <c:ser>
          <c:idx val="6"/>
          <c:order val="6"/>
          <c:tx>
            <c:strRef>
              <c:f>Longliners!$C$98</c:f>
              <c:strCache>
                <c:ptCount val="1"/>
                <c:pt idx="0">
                  <c:v>Bass</c:v>
                </c:pt>
              </c:strCache>
            </c:strRef>
          </c:tx>
          <c:spPr>
            <a:solidFill>
              <a:srgbClr val="FED825"/>
            </a:solidFill>
            <a:ln>
              <a:solidFill>
                <a:srgbClr val="FFFFFF"/>
              </a:solidFill>
            </a:ln>
          </c:spPr>
          <c:invertIfNegative val="0"/>
          <c:cat>
            <c:numRef>
              <c:f>Longliners!$D$91:$M$91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Longliners!$D$98:$M$98</c:f>
              <c:numCache>
                <c:formatCode>0%</c:formatCode>
                <c:ptCount val="10"/>
                <c:pt idx="6">
                  <c:v>6.4617531661846908E-3</c:v>
                </c:pt>
              </c:numCache>
            </c:numRef>
          </c:val>
          <c:extLst>
            <c:ext xmlns:c16="http://schemas.microsoft.com/office/drawing/2014/chart" uri="{C3380CC4-5D6E-409C-BE32-E72D297353CC}">
              <c16:uniqueId val="{00000006-5323-4E8C-9E58-9C729147D7DF}"/>
            </c:ext>
          </c:extLst>
        </c:ser>
        <c:ser>
          <c:idx val="7"/>
          <c:order val="7"/>
          <c:tx>
            <c:strRef>
              <c:f>Longliners!$C$99</c:f>
              <c:strCache>
                <c:ptCount val="1"/>
                <c:pt idx="0">
                  <c:v>Blue Mouth Redfish</c:v>
                </c:pt>
              </c:strCache>
            </c:strRef>
          </c:tx>
          <c:spPr>
            <a:solidFill>
              <a:srgbClr val="707271"/>
            </a:solidFill>
            <a:ln>
              <a:solidFill>
                <a:srgbClr val="FFFFFF"/>
              </a:solidFill>
            </a:ln>
          </c:spPr>
          <c:invertIfNegative val="0"/>
          <c:cat>
            <c:numRef>
              <c:f>Longliners!$D$91:$M$91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Longliners!$D$99:$M$99</c:f>
              <c:numCache>
                <c:formatCode>0%</c:formatCode>
                <c:ptCount val="10"/>
                <c:pt idx="4">
                  <c:v>4.866216476330832E-3</c:v>
                </c:pt>
                <c:pt idx="5">
                  <c:v>5.9369859819705705E-3</c:v>
                </c:pt>
              </c:numCache>
            </c:numRef>
          </c:val>
          <c:extLst>
            <c:ext xmlns:c16="http://schemas.microsoft.com/office/drawing/2014/chart" uri="{C3380CC4-5D6E-409C-BE32-E72D297353CC}">
              <c16:uniqueId val="{00000007-5323-4E8C-9E58-9C729147D7DF}"/>
            </c:ext>
          </c:extLst>
        </c:ser>
        <c:ser>
          <c:idx val="8"/>
          <c:order val="8"/>
          <c:tx>
            <c:strRef>
              <c:f>Longliners!$C$100</c:f>
              <c:strCache>
                <c:ptCount val="1"/>
                <c:pt idx="0">
                  <c:v>Albacore</c:v>
                </c:pt>
              </c:strCache>
            </c:strRef>
          </c:tx>
          <c:spPr>
            <a:solidFill>
              <a:srgbClr val="51AA81"/>
            </a:solidFill>
            <a:ln>
              <a:solidFill>
                <a:srgbClr val="FFFFFF"/>
              </a:solidFill>
            </a:ln>
          </c:spPr>
          <c:invertIfNegative val="0"/>
          <c:cat>
            <c:numRef>
              <c:f>Longliners!$D$91:$M$91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Longliners!$D$100:$M$100</c:f>
              <c:numCache>
                <c:formatCode>0%</c:formatCode>
                <c:ptCount val="10"/>
                <c:pt idx="2">
                  <c:v>1.9595248431234748E-2</c:v>
                </c:pt>
              </c:numCache>
            </c:numRef>
          </c:val>
          <c:extLst>
            <c:ext xmlns:c16="http://schemas.microsoft.com/office/drawing/2014/chart" uri="{C3380CC4-5D6E-409C-BE32-E72D297353CC}">
              <c16:uniqueId val="{00000008-5323-4E8C-9E58-9C729147D7DF}"/>
            </c:ext>
          </c:extLst>
        </c:ser>
        <c:ser>
          <c:idx val="9"/>
          <c:order val="9"/>
          <c:tx>
            <c:strRef>
              <c:f>Longliners!$C$101</c:f>
              <c:strCache>
                <c:ptCount val="1"/>
                <c:pt idx="0">
                  <c:v>Greater Forked Beard</c:v>
                </c:pt>
              </c:strCache>
            </c:strRef>
          </c:tx>
          <c:spPr>
            <a:solidFill>
              <a:srgbClr val="169FDB"/>
            </a:solidFill>
            <a:ln>
              <a:solidFill>
                <a:srgbClr val="FFFFFF"/>
              </a:solidFill>
            </a:ln>
          </c:spPr>
          <c:invertIfNegative val="0"/>
          <c:cat>
            <c:numRef>
              <c:f>Longliners!$D$91:$M$91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Longliners!$D$101:$M$101</c:f>
              <c:numCache>
                <c:formatCode>0%</c:formatCode>
                <c:ptCount val="10"/>
                <c:pt idx="0">
                  <c:v>2.3323891040311212E-2</c:v>
                </c:pt>
                <c:pt idx="1">
                  <c:v>1.7117804714606163E-2</c:v>
                </c:pt>
              </c:numCache>
            </c:numRef>
          </c:val>
          <c:extLst>
            <c:ext xmlns:c16="http://schemas.microsoft.com/office/drawing/2014/chart" uri="{C3380CC4-5D6E-409C-BE32-E72D297353CC}">
              <c16:uniqueId val="{00000009-5323-4E8C-9E58-9C729147D7DF}"/>
            </c:ext>
          </c:extLst>
        </c:ser>
        <c:ser>
          <c:idx val="10"/>
          <c:order val="10"/>
          <c:tx>
            <c:strRef>
              <c:f>Longliners!$C$102</c:f>
              <c:strCache>
                <c:ptCount val="1"/>
                <c:pt idx="0">
                  <c:v>Others</c:v>
                </c:pt>
              </c:strCache>
            </c:strRef>
          </c:tx>
          <c:spPr>
            <a:solidFill>
              <a:srgbClr val="55585A"/>
            </a:solidFill>
            <a:ln>
              <a:solidFill>
                <a:srgbClr val="FFFFFF"/>
              </a:solidFill>
            </a:ln>
          </c:spPr>
          <c:invertIfNegative val="0"/>
          <c:cat>
            <c:numRef>
              <c:f>Longliners!$D$91:$M$91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Longliners!$D$102:$M$102</c:f>
              <c:numCache>
                <c:formatCode>0%</c:formatCode>
                <c:ptCount val="10"/>
                <c:pt idx="0">
                  <c:v>6.6352023819222047E-2</c:v>
                </c:pt>
                <c:pt idx="1">
                  <c:v>2.3265906388691814E-2</c:v>
                </c:pt>
                <c:pt idx="2">
                  <c:v>3.5970745527021696E-2</c:v>
                </c:pt>
                <c:pt idx="3">
                  <c:v>2.5488919122872579E-2</c:v>
                </c:pt>
                <c:pt idx="4">
                  <c:v>1.4630085519480931E-2</c:v>
                </c:pt>
                <c:pt idx="5">
                  <c:v>1.2467808694221654E-2</c:v>
                </c:pt>
                <c:pt idx="6">
                  <c:v>1.231474669604357E-2</c:v>
                </c:pt>
                <c:pt idx="7">
                  <c:v>2.2528850025311527E-2</c:v>
                </c:pt>
                <c:pt idx="8">
                  <c:v>1.9469827251120838E-2</c:v>
                </c:pt>
                <c:pt idx="9">
                  <c:v>1.3458789052298975E-2</c:v>
                </c:pt>
              </c:numCache>
            </c:numRef>
          </c:val>
          <c:extLst>
            <c:ext xmlns:c16="http://schemas.microsoft.com/office/drawing/2014/chart" uri="{C3380CC4-5D6E-409C-BE32-E72D297353CC}">
              <c16:uniqueId val="{0000000A-5323-4E8C-9E58-9C729147D7DF}"/>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Longliners!$N$163</c:f>
          <c:strCache>
            <c:ptCount val="1"/>
            <c:pt idx="0">
              <c:v>Top 5 landed species by volume in 2019</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Longliners!$B$162</c:f>
              <c:strCache>
                <c:ptCount val="1"/>
                <c:pt idx="0">
                  <c:v>Hake</c:v>
                </c:pt>
              </c:strCache>
            </c:strRef>
          </c:tx>
          <c:spPr>
            <a:solidFill>
              <a:srgbClr val="2273B9"/>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Longliners!$C$162:$E$162</c:f>
              <c:numCache>
                <c:formatCode>0%</c:formatCode>
                <c:ptCount val="3"/>
                <c:pt idx="0">
                  <c:v>0</c:v>
                </c:pt>
                <c:pt idx="1">
                  <c:v>0.6395486665972453</c:v>
                </c:pt>
                <c:pt idx="2">
                  <c:v>0.4344626725826668</c:v>
                </c:pt>
              </c:numCache>
            </c:numRef>
          </c:val>
          <c:extLst>
            <c:ext xmlns:c16="http://schemas.microsoft.com/office/drawing/2014/chart" uri="{C3380CC4-5D6E-409C-BE32-E72D297353CC}">
              <c16:uniqueId val="{00000000-DA5D-4E7D-9074-9E2D4D030C70}"/>
            </c:ext>
          </c:extLst>
        </c:ser>
        <c:ser>
          <c:idx val="1"/>
          <c:order val="1"/>
          <c:tx>
            <c:strRef>
              <c:f>Longliners!$B$163</c:f>
              <c:strCache>
                <c:ptCount val="1"/>
                <c:pt idx="0">
                  <c:v>Ling</c:v>
                </c:pt>
              </c:strCache>
            </c:strRef>
          </c:tx>
          <c:spPr>
            <a:solidFill>
              <a:srgbClr val="648C2E"/>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Longliners!$C$163:$E$163</c:f>
              <c:numCache>
                <c:formatCode>0%</c:formatCode>
                <c:ptCount val="3"/>
                <c:pt idx="0">
                  <c:v>0</c:v>
                </c:pt>
                <c:pt idx="1">
                  <c:v>0.32025476466277719</c:v>
                </c:pt>
                <c:pt idx="2">
                  <c:v>0.22781428283958888</c:v>
                </c:pt>
              </c:numCache>
            </c:numRef>
          </c:val>
          <c:extLst>
            <c:ext xmlns:c16="http://schemas.microsoft.com/office/drawing/2014/chart" uri="{C3380CC4-5D6E-409C-BE32-E72D297353CC}">
              <c16:uniqueId val="{00000001-DA5D-4E7D-9074-9E2D4D030C70}"/>
            </c:ext>
          </c:extLst>
        </c:ser>
        <c:ser>
          <c:idx val="2"/>
          <c:order val="2"/>
          <c:tx>
            <c:strRef>
              <c:f>Longliners!$B$164</c:f>
              <c:strCache>
                <c:ptCount val="1"/>
                <c:pt idx="0">
                  <c:v>Scallops</c:v>
                </c:pt>
              </c:strCache>
            </c:strRef>
          </c:tx>
          <c:spPr>
            <a:solidFill>
              <a:srgbClr val="C1D119"/>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Longliners!$C$164:$E$164</c:f>
              <c:numCache>
                <c:formatCode>0%</c:formatCode>
                <c:ptCount val="3"/>
                <c:pt idx="0">
                  <c:v>1.0787793567985423E-2</c:v>
                </c:pt>
                <c:pt idx="1">
                  <c:v>9.9254981100791728E-3</c:v>
                </c:pt>
                <c:pt idx="2">
                  <c:v>0.25576554000482193</c:v>
                </c:pt>
              </c:numCache>
            </c:numRef>
          </c:val>
          <c:extLst>
            <c:ext xmlns:c16="http://schemas.microsoft.com/office/drawing/2014/chart" uri="{C3380CC4-5D6E-409C-BE32-E72D297353CC}">
              <c16:uniqueId val="{00000002-DA5D-4E7D-9074-9E2D4D030C70}"/>
            </c:ext>
          </c:extLst>
        </c:ser>
        <c:ser>
          <c:idx val="3"/>
          <c:order val="3"/>
          <c:tx>
            <c:strRef>
              <c:f>Longliners!$B$165</c:f>
              <c:strCache>
                <c:ptCount val="1"/>
                <c:pt idx="0">
                  <c:v>Blue Mouth Redfish</c:v>
                </c:pt>
              </c:strCache>
            </c:strRef>
          </c:tx>
          <c:spPr>
            <a:solidFill>
              <a:srgbClr val="0F9AA9"/>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Longliners!$C$165:$E$165</c:f>
              <c:numCache>
                <c:formatCode>0%</c:formatCode>
                <c:ptCount val="3"/>
                <c:pt idx="0">
                  <c:v>0</c:v>
                </c:pt>
                <c:pt idx="1">
                  <c:v>9.2465521248978749E-3</c:v>
                </c:pt>
                <c:pt idx="2">
                  <c:v>0</c:v>
                </c:pt>
              </c:numCache>
            </c:numRef>
          </c:val>
          <c:extLst>
            <c:ext xmlns:c16="http://schemas.microsoft.com/office/drawing/2014/chart" uri="{C3380CC4-5D6E-409C-BE32-E72D297353CC}">
              <c16:uniqueId val="{00000003-DA5D-4E7D-9074-9E2D4D030C70}"/>
            </c:ext>
          </c:extLst>
        </c:ser>
        <c:ser>
          <c:idx val="4"/>
          <c:order val="4"/>
          <c:tx>
            <c:strRef>
              <c:f>Longliners!$B$166</c:f>
              <c:strCache>
                <c:ptCount val="1"/>
                <c:pt idx="0">
                  <c:v>Saithe</c:v>
                </c:pt>
              </c:strCache>
            </c:strRef>
          </c:tx>
          <c:spPr>
            <a:solidFill>
              <a:srgbClr val="FED825"/>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Longliners!$C$166:$E$166</c:f>
              <c:numCache>
                <c:formatCode>0%</c:formatCode>
                <c:ptCount val="3"/>
                <c:pt idx="0">
                  <c:v>0</c:v>
                </c:pt>
                <c:pt idx="1">
                  <c:v>6.5645707686743928E-3</c:v>
                </c:pt>
                <c:pt idx="2">
                  <c:v>0</c:v>
                </c:pt>
              </c:numCache>
            </c:numRef>
          </c:val>
          <c:extLst>
            <c:ext xmlns:c16="http://schemas.microsoft.com/office/drawing/2014/chart" uri="{C3380CC4-5D6E-409C-BE32-E72D297353CC}">
              <c16:uniqueId val="{00000004-DA5D-4E7D-9074-9E2D4D030C70}"/>
            </c:ext>
          </c:extLst>
        </c:ser>
        <c:ser>
          <c:idx val="5"/>
          <c:order val="5"/>
          <c:tx>
            <c:strRef>
              <c:f>Longliners!$B$167</c:f>
              <c:strCache>
                <c:ptCount val="1"/>
                <c:pt idx="0">
                  <c:v>Pollack</c:v>
                </c:pt>
              </c:strCache>
            </c:strRef>
          </c:tx>
          <c:spPr>
            <a:solidFill>
              <a:srgbClr val="E84A38"/>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Longliners!$C$167:$E$167</c:f>
              <c:numCache>
                <c:formatCode>0%</c:formatCode>
                <c:ptCount val="3"/>
                <c:pt idx="0">
                  <c:v>0</c:v>
                </c:pt>
                <c:pt idx="1">
                  <c:v>0</c:v>
                </c:pt>
                <c:pt idx="2">
                  <c:v>2.7861159406090425E-2</c:v>
                </c:pt>
              </c:numCache>
            </c:numRef>
          </c:val>
          <c:extLst>
            <c:ext xmlns:c16="http://schemas.microsoft.com/office/drawing/2014/chart" uri="{C3380CC4-5D6E-409C-BE32-E72D297353CC}">
              <c16:uniqueId val="{00000005-DA5D-4E7D-9074-9E2D4D030C70}"/>
            </c:ext>
          </c:extLst>
        </c:ser>
        <c:ser>
          <c:idx val="6"/>
          <c:order val="6"/>
          <c:tx>
            <c:strRef>
              <c:f>Longliners!$B$168</c:f>
              <c:strCache>
                <c:ptCount val="1"/>
                <c:pt idx="0">
                  <c:v>Herring</c:v>
                </c:pt>
              </c:strCache>
            </c:strRef>
          </c:tx>
          <c:spPr>
            <a:solidFill>
              <a:srgbClr val="707271"/>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Longliners!$C$168:$E$168</c:f>
              <c:numCache>
                <c:formatCode>0%</c:formatCode>
                <c:ptCount val="3"/>
                <c:pt idx="0">
                  <c:v>0</c:v>
                </c:pt>
                <c:pt idx="1">
                  <c:v>0</c:v>
                </c:pt>
                <c:pt idx="2">
                  <c:v>1.2615648732854758E-2</c:v>
                </c:pt>
              </c:numCache>
            </c:numRef>
          </c:val>
          <c:extLst>
            <c:ext xmlns:c16="http://schemas.microsoft.com/office/drawing/2014/chart" uri="{C3380CC4-5D6E-409C-BE32-E72D297353CC}">
              <c16:uniqueId val="{00000006-DA5D-4E7D-9074-9E2D4D030C70}"/>
            </c:ext>
          </c:extLst>
        </c:ser>
        <c:ser>
          <c:idx val="7"/>
          <c:order val="7"/>
          <c:tx>
            <c:strRef>
              <c:f>Longliners!$B$169</c:f>
              <c:strCache>
                <c:ptCount val="1"/>
                <c:pt idx="0">
                  <c:v>Razor Clam</c:v>
                </c:pt>
              </c:strCache>
            </c:strRef>
          </c:tx>
          <c:spPr>
            <a:solidFill>
              <a:srgbClr val="E87308"/>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Longliners!$C$169:$E$169</c:f>
              <c:numCache>
                <c:formatCode>0%</c:formatCode>
                <c:ptCount val="3"/>
                <c:pt idx="0">
                  <c:v>0.97057960808038235</c:v>
                </c:pt>
                <c:pt idx="1">
                  <c:v>0</c:v>
                </c:pt>
                <c:pt idx="2">
                  <c:v>0</c:v>
                </c:pt>
              </c:numCache>
            </c:numRef>
          </c:val>
          <c:extLst>
            <c:ext xmlns:c16="http://schemas.microsoft.com/office/drawing/2014/chart" uri="{C3380CC4-5D6E-409C-BE32-E72D297353CC}">
              <c16:uniqueId val="{00000007-DA5D-4E7D-9074-9E2D4D030C70}"/>
            </c:ext>
          </c:extLst>
        </c:ser>
        <c:ser>
          <c:idx val="8"/>
          <c:order val="8"/>
          <c:tx>
            <c:strRef>
              <c:f>Longliners!$B$170</c:f>
              <c:strCache>
                <c:ptCount val="1"/>
                <c:pt idx="0">
                  <c:v>Nephrops</c:v>
                </c:pt>
              </c:strCache>
            </c:strRef>
          </c:tx>
          <c:spPr>
            <a:solidFill>
              <a:srgbClr val="169FDB"/>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Longliners!$C$170:$E$170</c:f>
              <c:numCache>
                <c:formatCode>0%</c:formatCode>
                <c:ptCount val="3"/>
                <c:pt idx="0">
                  <c:v>1.8632598351632182E-2</c:v>
                </c:pt>
                <c:pt idx="1">
                  <c:v>0</c:v>
                </c:pt>
                <c:pt idx="2">
                  <c:v>0</c:v>
                </c:pt>
              </c:numCache>
            </c:numRef>
          </c:val>
          <c:extLst>
            <c:ext xmlns:c16="http://schemas.microsoft.com/office/drawing/2014/chart" uri="{C3380CC4-5D6E-409C-BE32-E72D297353CC}">
              <c16:uniqueId val="{00000008-DA5D-4E7D-9074-9E2D4D030C70}"/>
            </c:ext>
          </c:extLst>
        </c:ser>
        <c:ser>
          <c:idx val="9"/>
          <c:order val="9"/>
          <c:tx>
            <c:strRef>
              <c:f>Longliners!$B$171</c:f>
              <c:strCache>
                <c:ptCount val="1"/>
                <c:pt idx="0">
                  <c:v>Others</c:v>
                </c:pt>
              </c:strCache>
            </c:strRef>
          </c:tx>
          <c:spPr>
            <a:solidFill>
              <a:srgbClr val="55585A"/>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Longliners!$C$171:$E$171</c:f>
              <c:numCache>
                <c:formatCode>0%</c:formatCode>
                <c:ptCount val="3"/>
                <c:pt idx="0">
                  <c:v>0</c:v>
                </c:pt>
                <c:pt idx="1">
                  <c:v>1.4459947736326084E-2</c:v>
                </c:pt>
                <c:pt idx="2">
                  <c:v>4.1480696433977116E-2</c:v>
                </c:pt>
              </c:numCache>
            </c:numRef>
          </c:val>
          <c:extLst>
            <c:ext xmlns:c16="http://schemas.microsoft.com/office/drawing/2014/chart" uri="{C3380CC4-5D6E-409C-BE32-E72D297353CC}">
              <c16:uniqueId val="{00000009-DA5D-4E7D-9074-9E2D4D030C70}"/>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Longliners!$N$164</c:f>
          <c:strCache>
            <c:ptCount val="1"/>
            <c:pt idx="0">
              <c:v>Top 5 landed species by value in 2019</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Longliners!$H$162</c:f>
              <c:strCache>
                <c:ptCount val="1"/>
                <c:pt idx="0">
                  <c:v>Hake</c:v>
                </c:pt>
              </c:strCache>
            </c:strRef>
          </c:tx>
          <c:spPr>
            <a:solidFill>
              <a:srgbClr val="2273B9"/>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Longliners!$I$162:$K$162</c:f>
              <c:numCache>
                <c:formatCode>0%</c:formatCode>
                <c:ptCount val="3"/>
                <c:pt idx="0">
                  <c:v>0</c:v>
                </c:pt>
                <c:pt idx="1">
                  <c:v>0.71395661367268082</c:v>
                </c:pt>
                <c:pt idx="2">
                  <c:v>0.3838030950748878</c:v>
                </c:pt>
              </c:numCache>
            </c:numRef>
          </c:val>
          <c:extLst>
            <c:ext xmlns:c16="http://schemas.microsoft.com/office/drawing/2014/chart" uri="{C3380CC4-5D6E-409C-BE32-E72D297353CC}">
              <c16:uniqueId val="{00000000-55D5-465C-A9FF-1637565C5AE9}"/>
            </c:ext>
          </c:extLst>
        </c:ser>
        <c:ser>
          <c:idx val="1"/>
          <c:order val="1"/>
          <c:tx>
            <c:strRef>
              <c:f>Longliners!$H$163</c:f>
              <c:strCache>
                <c:ptCount val="1"/>
                <c:pt idx="0">
                  <c:v>Ling</c:v>
                </c:pt>
              </c:strCache>
            </c:strRef>
          </c:tx>
          <c:spPr>
            <a:solidFill>
              <a:srgbClr val="648C2E"/>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Longliners!$I$163:$K$163</c:f>
              <c:numCache>
                <c:formatCode>0%</c:formatCode>
                <c:ptCount val="3"/>
                <c:pt idx="0">
                  <c:v>0</c:v>
                </c:pt>
                <c:pt idx="1">
                  <c:v>0.23290027107957881</c:v>
                </c:pt>
                <c:pt idx="2">
                  <c:v>0.13160182754824001</c:v>
                </c:pt>
              </c:numCache>
            </c:numRef>
          </c:val>
          <c:extLst>
            <c:ext xmlns:c16="http://schemas.microsoft.com/office/drawing/2014/chart" uri="{C3380CC4-5D6E-409C-BE32-E72D297353CC}">
              <c16:uniqueId val="{00000001-55D5-465C-A9FF-1637565C5AE9}"/>
            </c:ext>
          </c:extLst>
        </c:ser>
        <c:ser>
          <c:idx val="2"/>
          <c:order val="2"/>
          <c:tx>
            <c:strRef>
              <c:f>Longliners!$H$164</c:f>
              <c:strCache>
                <c:ptCount val="1"/>
                <c:pt idx="0">
                  <c:v>Scallops</c:v>
                </c:pt>
              </c:strCache>
            </c:strRef>
          </c:tx>
          <c:spPr>
            <a:solidFill>
              <a:srgbClr val="C1D119"/>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Longliners!$I$164:$K$164</c:f>
              <c:numCache>
                <c:formatCode>0%</c:formatCode>
                <c:ptCount val="3"/>
                <c:pt idx="0">
                  <c:v>5.3243494252370252E-3</c:v>
                </c:pt>
                <c:pt idx="1">
                  <c:v>1.8527086607999153E-2</c:v>
                </c:pt>
                <c:pt idx="2">
                  <c:v>0.37024755967247158</c:v>
                </c:pt>
              </c:numCache>
            </c:numRef>
          </c:val>
          <c:extLst>
            <c:ext xmlns:c16="http://schemas.microsoft.com/office/drawing/2014/chart" uri="{C3380CC4-5D6E-409C-BE32-E72D297353CC}">
              <c16:uniqueId val="{00000002-55D5-465C-A9FF-1637565C5AE9}"/>
            </c:ext>
          </c:extLst>
        </c:ser>
        <c:ser>
          <c:idx val="3"/>
          <c:order val="3"/>
          <c:tx>
            <c:strRef>
              <c:f>Longliners!$H$165</c:f>
              <c:strCache>
                <c:ptCount val="1"/>
                <c:pt idx="0">
                  <c:v>Razor Clam</c:v>
                </c:pt>
              </c:strCache>
            </c:strRef>
          </c:tx>
          <c:spPr>
            <a:solidFill>
              <a:srgbClr val="E87308"/>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Longliners!$I$165:$K$165</c:f>
              <c:numCache>
                <c:formatCode>0%</c:formatCode>
                <c:ptCount val="3"/>
                <c:pt idx="0">
                  <c:v>0.9868764109198187</c:v>
                </c:pt>
                <c:pt idx="1">
                  <c:v>1.4633194447282694E-2</c:v>
                </c:pt>
                <c:pt idx="2">
                  <c:v>0</c:v>
                </c:pt>
              </c:numCache>
            </c:numRef>
          </c:val>
          <c:extLst>
            <c:ext xmlns:c16="http://schemas.microsoft.com/office/drawing/2014/chart" uri="{C3380CC4-5D6E-409C-BE32-E72D297353CC}">
              <c16:uniqueId val="{00000003-55D5-465C-A9FF-1637565C5AE9}"/>
            </c:ext>
          </c:extLst>
        </c:ser>
        <c:ser>
          <c:idx val="4"/>
          <c:order val="4"/>
          <c:tx>
            <c:strRef>
              <c:f>Longliners!$H$166</c:f>
              <c:strCache>
                <c:ptCount val="1"/>
                <c:pt idx="0">
                  <c:v>Blue Mouth Redfish</c:v>
                </c:pt>
              </c:strCache>
            </c:strRef>
          </c:tx>
          <c:spPr>
            <a:solidFill>
              <a:srgbClr val="0F9AA9"/>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Longliners!$I$166:$K$166</c:f>
              <c:numCache>
                <c:formatCode>0%</c:formatCode>
                <c:ptCount val="3"/>
                <c:pt idx="0">
                  <c:v>0</c:v>
                </c:pt>
                <c:pt idx="1">
                  <c:v>6.7014177571598534E-3</c:v>
                </c:pt>
                <c:pt idx="2">
                  <c:v>0</c:v>
                </c:pt>
              </c:numCache>
            </c:numRef>
          </c:val>
          <c:extLst>
            <c:ext xmlns:c16="http://schemas.microsoft.com/office/drawing/2014/chart" uri="{C3380CC4-5D6E-409C-BE32-E72D297353CC}">
              <c16:uniqueId val="{00000004-55D5-465C-A9FF-1637565C5AE9}"/>
            </c:ext>
          </c:extLst>
        </c:ser>
        <c:ser>
          <c:idx val="5"/>
          <c:order val="5"/>
          <c:tx>
            <c:strRef>
              <c:f>Longliners!$H$167</c:f>
              <c:strCache>
                <c:ptCount val="1"/>
                <c:pt idx="0">
                  <c:v>Bass</c:v>
                </c:pt>
              </c:strCache>
            </c:strRef>
          </c:tx>
          <c:spPr>
            <a:solidFill>
              <a:srgbClr val="51AA81"/>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Longliners!$I$167:$K$167</c:f>
              <c:numCache>
                <c:formatCode>0%</c:formatCode>
                <c:ptCount val="3"/>
                <c:pt idx="0">
                  <c:v>0</c:v>
                </c:pt>
                <c:pt idx="1">
                  <c:v>0</c:v>
                </c:pt>
                <c:pt idx="2">
                  <c:v>4.5213859679462634E-2</c:v>
                </c:pt>
              </c:numCache>
            </c:numRef>
          </c:val>
          <c:extLst>
            <c:ext xmlns:c16="http://schemas.microsoft.com/office/drawing/2014/chart" uri="{C3380CC4-5D6E-409C-BE32-E72D297353CC}">
              <c16:uniqueId val="{00000005-55D5-465C-A9FF-1637565C5AE9}"/>
            </c:ext>
          </c:extLst>
        </c:ser>
        <c:ser>
          <c:idx val="6"/>
          <c:order val="6"/>
          <c:tx>
            <c:strRef>
              <c:f>Longliners!$H$168</c:f>
              <c:strCache>
                <c:ptCount val="1"/>
                <c:pt idx="0">
                  <c:v>Pollack</c:v>
                </c:pt>
              </c:strCache>
            </c:strRef>
          </c:tx>
          <c:spPr>
            <a:solidFill>
              <a:srgbClr val="E84A38"/>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Longliners!$I$168:$K$168</c:f>
              <c:numCache>
                <c:formatCode>0%</c:formatCode>
                <c:ptCount val="3"/>
                <c:pt idx="0">
                  <c:v>0</c:v>
                </c:pt>
                <c:pt idx="1">
                  <c:v>0</c:v>
                </c:pt>
                <c:pt idx="2">
                  <c:v>3.9005154751579972E-2</c:v>
                </c:pt>
              </c:numCache>
            </c:numRef>
          </c:val>
          <c:extLst>
            <c:ext xmlns:c16="http://schemas.microsoft.com/office/drawing/2014/chart" uri="{C3380CC4-5D6E-409C-BE32-E72D297353CC}">
              <c16:uniqueId val="{00000006-55D5-465C-A9FF-1637565C5AE9}"/>
            </c:ext>
          </c:extLst>
        </c:ser>
        <c:ser>
          <c:idx val="7"/>
          <c:order val="7"/>
          <c:tx>
            <c:strRef>
              <c:f>Longliners!$H$169</c:f>
              <c:strCache>
                <c:ptCount val="1"/>
                <c:pt idx="0">
                  <c:v>Nephrops</c:v>
                </c:pt>
              </c:strCache>
            </c:strRef>
          </c:tx>
          <c:spPr>
            <a:solidFill>
              <a:srgbClr val="169FDB"/>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Longliners!$I$169:$K$169</c:f>
              <c:numCache>
                <c:formatCode>0%</c:formatCode>
                <c:ptCount val="3"/>
                <c:pt idx="0">
                  <c:v>7.7992396549442181E-3</c:v>
                </c:pt>
                <c:pt idx="1">
                  <c:v>0</c:v>
                </c:pt>
                <c:pt idx="2">
                  <c:v>0</c:v>
                </c:pt>
              </c:numCache>
            </c:numRef>
          </c:val>
          <c:extLst>
            <c:ext xmlns:c16="http://schemas.microsoft.com/office/drawing/2014/chart" uri="{C3380CC4-5D6E-409C-BE32-E72D297353CC}">
              <c16:uniqueId val="{00000007-55D5-465C-A9FF-1637565C5AE9}"/>
            </c:ext>
          </c:extLst>
        </c:ser>
        <c:ser>
          <c:idx val="8"/>
          <c:order val="8"/>
          <c:tx>
            <c:strRef>
              <c:f>Longliners!$H$170</c:f>
              <c:strCache>
                <c:ptCount val="1"/>
                <c:pt idx="0">
                  <c:v>Others</c:v>
                </c:pt>
              </c:strCache>
            </c:strRef>
          </c:tx>
          <c:spPr>
            <a:solidFill>
              <a:srgbClr val="55585A"/>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Longliners!$I$170:$K$170</c:f>
              <c:numCache>
                <c:formatCode>0%</c:formatCode>
                <c:ptCount val="3"/>
                <c:pt idx="0">
                  <c:v>0</c:v>
                </c:pt>
                <c:pt idx="1">
                  <c:v>1.3281416435298676E-2</c:v>
                </c:pt>
                <c:pt idx="2">
                  <c:v>3.0128503273358032E-2</c:v>
                </c:pt>
              </c:numCache>
            </c:numRef>
          </c:val>
          <c:extLst>
            <c:ext xmlns:c16="http://schemas.microsoft.com/office/drawing/2014/chart" uri="{C3380CC4-5D6E-409C-BE32-E72D297353CC}">
              <c16:uniqueId val="{00000008-55D5-465C-A9FF-1637565C5AE9}"/>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Longliners!$K$143</c:f>
          <c:strCache>
            <c:ptCount val="1"/>
            <c:pt idx="0">
              <c:v>Total income, operating costs and operating profit  in 2019</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Longliners!$K$139</c:f>
              <c:strCache>
                <c:ptCount val="1"/>
                <c:pt idx="0">
                  <c:v>Total income</c:v>
                </c:pt>
              </c:strCache>
            </c:strRef>
          </c:tx>
          <c:spPr>
            <a:solidFill>
              <a:srgbClr val="087CBB"/>
            </a:solidFill>
            <a:ln>
              <a:solidFill>
                <a:schemeClr val="accent1"/>
              </a:solidFill>
            </a:ln>
          </c:spPr>
          <c:invertIfNegative val="0"/>
          <c:cat>
            <c:strRef>
              <c:f>Longliners!$L$138:$N$138</c:f>
              <c:strCache>
                <c:ptCount val="3"/>
                <c:pt idx="0">
                  <c:v>Most
profitable
quartile</c:v>
                </c:pt>
                <c:pt idx="1">
                  <c:v>Middle
two quartiles</c:v>
                </c:pt>
                <c:pt idx="2">
                  <c:v>Least
profitable
quartile</c:v>
                </c:pt>
              </c:strCache>
            </c:strRef>
          </c:cat>
          <c:val>
            <c:numRef>
              <c:f>Longliners!$L$139:$N$139</c:f>
              <c:numCache>
                <c:formatCode>#,##0</c:formatCode>
                <c:ptCount val="3"/>
                <c:pt idx="0">
                  <c:v>338.26668749999999</c:v>
                </c:pt>
                <c:pt idx="1">
                  <c:v>693.09212083333296</c:v>
                </c:pt>
                <c:pt idx="2">
                  <c:v>155.75453125000001</c:v>
                </c:pt>
              </c:numCache>
            </c:numRef>
          </c:val>
          <c:extLst>
            <c:ext xmlns:c16="http://schemas.microsoft.com/office/drawing/2014/chart" uri="{C3380CC4-5D6E-409C-BE32-E72D297353CC}">
              <c16:uniqueId val="{00000000-4399-491F-9BD2-2C0667C01229}"/>
            </c:ext>
          </c:extLst>
        </c:ser>
        <c:ser>
          <c:idx val="1"/>
          <c:order val="1"/>
          <c:tx>
            <c:strRef>
              <c:f>Longliners!$K$140</c:f>
              <c:strCache>
                <c:ptCount val="1"/>
                <c:pt idx="0">
                  <c:v>Operating costs</c:v>
                </c:pt>
              </c:strCache>
            </c:strRef>
          </c:tx>
          <c:spPr>
            <a:solidFill>
              <a:srgbClr val="E87308"/>
            </a:solidFill>
          </c:spPr>
          <c:invertIfNegative val="0"/>
          <c:cat>
            <c:strRef>
              <c:f>Longliners!$L$138:$N$138</c:f>
              <c:strCache>
                <c:ptCount val="3"/>
                <c:pt idx="0">
                  <c:v>Most
profitable
quartile</c:v>
                </c:pt>
                <c:pt idx="1">
                  <c:v>Middle
two quartiles</c:v>
                </c:pt>
                <c:pt idx="2">
                  <c:v>Least
profitable
quartile</c:v>
                </c:pt>
              </c:strCache>
            </c:strRef>
          </c:cat>
          <c:val>
            <c:numRef>
              <c:f>Longliners!$L$140:$N$140</c:f>
              <c:numCache>
                <c:formatCode>#,##0</c:formatCode>
                <c:ptCount val="3"/>
                <c:pt idx="0">
                  <c:v>249.7385625</c:v>
                </c:pt>
                <c:pt idx="1">
                  <c:v>605.69146041666704</c:v>
                </c:pt>
                <c:pt idx="2">
                  <c:v>167.78689062500001</c:v>
                </c:pt>
              </c:numCache>
            </c:numRef>
          </c:val>
          <c:extLst>
            <c:ext xmlns:c16="http://schemas.microsoft.com/office/drawing/2014/chart" uri="{C3380CC4-5D6E-409C-BE32-E72D297353CC}">
              <c16:uniqueId val="{00000001-4399-491F-9BD2-2C0667C01229}"/>
            </c:ext>
          </c:extLst>
        </c:ser>
        <c:ser>
          <c:idx val="2"/>
          <c:order val="2"/>
          <c:tx>
            <c:strRef>
              <c:f>Longliners!$K$141</c:f>
              <c:strCache>
                <c:ptCount val="1"/>
                <c:pt idx="0">
                  <c:v>Operating profit</c:v>
                </c:pt>
              </c:strCache>
            </c:strRef>
          </c:tx>
          <c:spPr>
            <a:solidFill>
              <a:srgbClr val="51AA81"/>
            </a:solidFill>
          </c:spPr>
          <c:invertIfNegative val="0"/>
          <c:cat>
            <c:strRef>
              <c:f>Longliners!$L$138:$N$138</c:f>
              <c:strCache>
                <c:ptCount val="3"/>
                <c:pt idx="0">
                  <c:v>Most
profitable
quartile</c:v>
                </c:pt>
                <c:pt idx="1">
                  <c:v>Middle
two quartiles</c:v>
                </c:pt>
                <c:pt idx="2">
                  <c:v>Least
profitable
quartile</c:v>
                </c:pt>
              </c:strCache>
            </c:strRef>
          </c:cat>
          <c:val>
            <c:numRef>
              <c:f>Longliners!$L$141:$N$141</c:f>
              <c:numCache>
                <c:formatCode>#,##0</c:formatCode>
                <c:ptCount val="3"/>
                <c:pt idx="0">
                  <c:v>88.528125000000003</c:v>
                </c:pt>
                <c:pt idx="1">
                  <c:v>87.400660416666696</c:v>
                </c:pt>
                <c:pt idx="2">
                  <c:v>-12.032359375</c:v>
                </c:pt>
              </c:numCache>
            </c:numRef>
          </c:val>
          <c:extLst>
            <c:ext xmlns:c16="http://schemas.microsoft.com/office/drawing/2014/chart" uri="{C3380CC4-5D6E-409C-BE32-E72D297353CC}">
              <c16:uniqueId val="{00000002-4399-491F-9BD2-2C0667C01229}"/>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Longliners!$K$142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10m'!$A$48</c:f>
          <c:strCache>
            <c:ptCount val="1"/>
            <c:pt idx="0">
              <c:v>Landings per kW day at sea (kg)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AF23-43E2-A80B-3E8AE7AEF1AD}"/>
              </c:ext>
            </c:extLst>
          </c:dPt>
          <c:dPt>
            <c:idx val="10"/>
            <c:bubble3D val="0"/>
            <c:spPr>
              <a:ln w="57150">
                <a:solidFill>
                  <a:srgbClr val="2273B9"/>
                </a:solidFill>
                <a:prstDash val="sysDot"/>
              </a:ln>
            </c:spPr>
            <c:extLst>
              <c:ext xmlns:c16="http://schemas.microsoft.com/office/drawing/2014/chart" uri="{C3380CC4-5D6E-409C-BE32-E72D297353CC}">
                <c16:uniqueId val="{00000003-AF23-43E2-A80B-3E8AE7AEF1AD}"/>
              </c:ext>
            </c:extLst>
          </c:dPt>
          <c:cat>
            <c:numRef>
              <c:f>'Low activity over 10m'!$D$2:$N$2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'Low activity over 10m'!$D$21:$N$21</c:f>
              <c:numCache>
                <c:formatCode>#,##0.00</c:formatCode>
                <c:ptCount val="11"/>
                <c:pt idx="0">
                  <c:v>21.452606063039752</c:v>
                </c:pt>
                <c:pt idx="1">
                  <c:v>1.3045581916520703</c:v>
                </c:pt>
                <c:pt idx="2">
                  <c:v>1.6683498513075961</c:v>
                </c:pt>
                <c:pt idx="3">
                  <c:v>1.2378215506561512</c:v>
                </c:pt>
                <c:pt idx="4">
                  <c:v>8.7052615844053438</c:v>
                </c:pt>
                <c:pt idx="5">
                  <c:v>1.0227430777529332</c:v>
                </c:pt>
                <c:pt idx="6">
                  <c:v>10.54595221632928</c:v>
                </c:pt>
                <c:pt idx="7">
                  <c:v>1.224611159022164</c:v>
                </c:pt>
                <c:pt idx="8">
                  <c:v>0.9181647865833158</c:v>
                </c:pt>
                <c:pt idx="9">
                  <c:v>0.98618524970952381</c:v>
                </c:pt>
                <c:pt idx="10">
                  <c:v>0.59469233143003619</c:v>
                </c:pt>
              </c:numCache>
            </c:numRef>
          </c:val>
          <c:smooth val="0"/>
          <c:extLst>
            <c:ext xmlns:c16="http://schemas.microsoft.com/office/drawing/2014/chart" uri="{C3380CC4-5D6E-409C-BE32-E72D297353CC}">
              <c16:uniqueId val="{00000004-AF23-43E2-A80B-3E8AE7AEF1AD}"/>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10m'!$A$49</c:f>
          <c:strCache>
            <c:ptCount val="1"/>
            <c:pt idx="0">
              <c:v>Fishing income per kW day at sea (£)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4709-418C-AC8E-77302C7BCEA0}"/>
              </c:ext>
            </c:extLst>
          </c:dPt>
          <c:dPt>
            <c:idx val="10"/>
            <c:bubble3D val="0"/>
            <c:spPr>
              <a:ln w="57150">
                <a:solidFill>
                  <a:srgbClr val="648C2E"/>
                </a:solidFill>
                <a:prstDash val="sysDot"/>
              </a:ln>
            </c:spPr>
            <c:extLst>
              <c:ext xmlns:c16="http://schemas.microsoft.com/office/drawing/2014/chart" uri="{C3380CC4-5D6E-409C-BE32-E72D297353CC}">
                <c16:uniqueId val="{00000003-4709-418C-AC8E-77302C7BCEA0}"/>
              </c:ext>
            </c:extLst>
          </c:dPt>
          <c:cat>
            <c:numRef>
              <c:f>'Low activity over 10m'!$D$2:$N$2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'Low activity over 10m'!$D$22:$N$22</c:f>
              <c:numCache>
                <c:formatCode>#,##0.00</c:formatCode>
                <c:ptCount val="11"/>
                <c:pt idx="0">
                  <c:v>2.57994898348921</c:v>
                </c:pt>
                <c:pt idx="1">
                  <c:v>2.8117153767583698</c:v>
                </c:pt>
                <c:pt idx="2">
                  <c:v>2.4182869017756401</c:v>
                </c:pt>
                <c:pt idx="3">
                  <c:v>2.5470958683216902</c:v>
                </c:pt>
                <c:pt idx="4">
                  <c:v>1.3119798380952601</c:v>
                </c:pt>
                <c:pt idx="5">
                  <c:v>2.62920675845172</c:v>
                </c:pt>
                <c:pt idx="6">
                  <c:v>1.9317066464595001</c:v>
                </c:pt>
                <c:pt idx="7">
                  <c:v>2.2116965175276202</c:v>
                </c:pt>
                <c:pt idx="8">
                  <c:v>2.25042295571405</c:v>
                </c:pt>
                <c:pt idx="9">
                  <c:v>2.4078318942269901</c:v>
                </c:pt>
                <c:pt idx="10">
                  <c:v>1.4040532651074324</c:v>
                </c:pt>
              </c:numCache>
            </c:numRef>
          </c:val>
          <c:smooth val="0"/>
          <c:extLst>
            <c:ext xmlns:c16="http://schemas.microsoft.com/office/drawing/2014/chart" uri="{C3380CC4-5D6E-409C-BE32-E72D297353CC}">
              <c16:uniqueId val="{00000004-4709-418C-AC8E-77302C7BCEA0}"/>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10m'!$B$62</c:f>
          <c:strCache>
            <c:ptCount val="1"/>
            <c:pt idx="0">
              <c:v>Total cost per kW day at sea (£)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9415-4F29-AAD0-C8E0257DA45B}"/>
              </c:ext>
            </c:extLst>
          </c:dPt>
          <c:dPt>
            <c:idx val="10"/>
            <c:bubble3D val="0"/>
            <c:spPr>
              <a:ln w="57150">
                <a:solidFill>
                  <a:srgbClr val="087CBB"/>
                </a:solidFill>
                <a:prstDash val="sysDot"/>
              </a:ln>
            </c:spPr>
            <c:extLst>
              <c:ext xmlns:c16="http://schemas.microsoft.com/office/drawing/2014/chart" uri="{C3380CC4-5D6E-409C-BE32-E72D297353CC}">
                <c16:uniqueId val="{00000003-9415-4F29-AAD0-C8E0257DA45B}"/>
              </c:ext>
            </c:extLst>
          </c:dPt>
          <c:cat>
            <c:numRef>
              <c:f>'Low activity over 10m'!$D$2:$N$2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'Low activity over 10m'!$D$23:$N$23</c:f>
              <c:numCache>
                <c:formatCode>#,##0.00</c:formatCode>
                <c:ptCount val="11"/>
                <c:pt idx="0">
                  <c:v>3.3311575309875798</c:v>
                </c:pt>
                <c:pt idx="1">
                  <c:v>3.5311358442971499</c:v>
                </c:pt>
                <c:pt idx="2">
                  <c:v>3.6077900779234899</c:v>
                </c:pt>
                <c:pt idx="3">
                  <c:v>4.2852400246759803</c:v>
                </c:pt>
                <c:pt idx="4">
                  <c:v>3.0593989464801301</c:v>
                </c:pt>
                <c:pt idx="5">
                  <c:v>4.7633699229791402</c:v>
                </c:pt>
                <c:pt idx="6">
                  <c:v>2.7629034646380202</c:v>
                </c:pt>
                <c:pt idx="7">
                  <c:v>4.3285134775339102</c:v>
                </c:pt>
                <c:pt idx="8">
                  <c:v>4.5077321521430198</c:v>
                </c:pt>
                <c:pt idx="9">
                  <c:v>3.9839049176769299</c:v>
                </c:pt>
                <c:pt idx="10">
                  <c:v>5.3219580100541855</c:v>
                </c:pt>
              </c:numCache>
            </c:numRef>
          </c:val>
          <c:smooth val="0"/>
          <c:extLst>
            <c:ext xmlns:c16="http://schemas.microsoft.com/office/drawing/2014/chart" uri="{C3380CC4-5D6E-409C-BE32-E72D297353CC}">
              <c16:uniqueId val="{00000004-9415-4F29-AAD0-C8E0257DA45B}"/>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drawings/_rels/drawing10.xml.rels><?xml version="1.0" encoding="UTF-8" standalone="yes"?>
<Relationships xmlns="http://schemas.openxmlformats.org/package/2006/relationships"><Relationship Id="rId8" Type="http://schemas.openxmlformats.org/officeDocument/2006/relationships/chart" Target="../charts/chart104.xml"/><Relationship Id="rId3" Type="http://schemas.openxmlformats.org/officeDocument/2006/relationships/chart" Target="../charts/chart99.xml"/><Relationship Id="rId7" Type="http://schemas.openxmlformats.org/officeDocument/2006/relationships/chart" Target="../charts/chart103.xml"/><Relationship Id="rId12" Type="http://schemas.openxmlformats.org/officeDocument/2006/relationships/chart" Target="../charts/chart108.xml"/><Relationship Id="rId2" Type="http://schemas.openxmlformats.org/officeDocument/2006/relationships/chart" Target="../charts/chart98.xml"/><Relationship Id="rId1" Type="http://schemas.openxmlformats.org/officeDocument/2006/relationships/chart" Target="../charts/chart97.xml"/><Relationship Id="rId6" Type="http://schemas.openxmlformats.org/officeDocument/2006/relationships/chart" Target="../charts/chart102.xml"/><Relationship Id="rId11" Type="http://schemas.openxmlformats.org/officeDocument/2006/relationships/chart" Target="../charts/chart107.xml"/><Relationship Id="rId5" Type="http://schemas.openxmlformats.org/officeDocument/2006/relationships/chart" Target="../charts/chart101.xml"/><Relationship Id="rId10" Type="http://schemas.openxmlformats.org/officeDocument/2006/relationships/chart" Target="../charts/chart106.xml"/><Relationship Id="rId4" Type="http://schemas.openxmlformats.org/officeDocument/2006/relationships/chart" Target="../charts/chart100.xml"/><Relationship Id="rId9" Type="http://schemas.openxmlformats.org/officeDocument/2006/relationships/chart" Target="../charts/chart105.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16.xml"/><Relationship Id="rId3" Type="http://schemas.openxmlformats.org/officeDocument/2006/relationships/chart" Target="../charts/chart111.xml"/><Relationship Id="rId7" Type="http://schemas.openxmlformats.org/officeDocument/2006/relationships/chart" Target="../charts/chart115.xml"/><Relationship Id="rId12" Type="http://schemas.openxmlformats.org/officeDocument/2006/relationships/chart" Target="../charts/chart120.xml"/><Relationship Id="rId2" Type="http://schemas.openxmlformats.org/officeDocument/2006/relationships/chart" Target="../charts/chart110.xml"/><Relationship Id="rId1" Type="http://schemas.openxmlformats.org/officeDocument/2006/relationships/chart" Target="../charts/chart109.xml"/><Relationship Id="rId6" Type="http://schemas.openxmlformats.org/officeDocument/2006/relationships/chart" Target="../charts/chart114.xml"/><Relationship Id="rId11" Type="http://schemas.openxmlformats.org/officeDocument/2006/relationships/chart" Target="../charts/chart119.xml"/><Relationship Id="rId5" Type="http://schemas.openxmlformats.org/officeDocument/2006/relationships/chart" Target="../charts/chart113.xml"/><Relationship Id="rId10" Type="http://schemas.openxmlformats.org/officeDocument/2006/relationships/chart" Target="../charts/chart118.xml"/><Relationship Id="rId4" Type="http://schemas.openxmlformats.org/officeDocument/2006/relationships/chart" Target="../charts/chart112.xml"/><Relationship Id="rId9" Type="http://schemas.openxmlformats.org/officeDocument/2006/relationships/chart" Target="../charts/chart117.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28.xml"/><Relationship Id="rId3" Type="http://schemas.openxmlformats.org/officeDocument/2006/relationships/chart" Target="../charts/chart123.xml"/><Relationship Id="rId7" Type="http://schemas.openxmlformats.org/officeDocument/2006/relationships/chart" Target="../charts/chart127.xml"/><Relationship Id="rId12" Type="http://schemas.openxmlformats.org/officeDocument/2006/relationships/chart" Target="../charts/chart132.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11" Type="http://schemas.openxmlformats.org/officeDocument/2006/relationships/chart" Target="../charts/chart131.xml"/><Relationship Id="rId5" Type="http://schemas.openxmlformats.org/officeDocument/2006/relationships/chart" Target="../charts/chart125.xml"/><Relationship Id="rId10" Type="http://schemas.openxmlformats.org/officeDocument/2006/relationships/chart" Target="../charts/chart130.xml"/><Relationship Id="rId4" Type="http://schemas.openxmlformats.org/officeDocument/2006/relationships/chart" Target="../charts/chart124.xml"/><Relationship Id="rId9" Type="http://schemas.openxmlformats.org/officeDocument/2006/relationships/chart" Target="../charts/chart129.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40.xml"/><Relationship Id="rId3" Type="http://schemas.openxmlformats.org/officeDocument/2006/relationships/chart" Target="../charts/chart135.xml"/><Relationship Id="rId7" Type="http://schemas.openxmlformats.org/officeDocument/2006/relationships/chart" Target="../charts/chart139.xml"/><Relationship Id="rId12" Type="http://schemas.openxmlformats.org/officeDocument/2006/relationships/chart" Target="../charts/chart144.xml"/><Relationship Id="rId2" Type="http://schemas.openxmlformats.org/officeDocument/2006/relationships/chart" Target="../charts/chart134.xml"/><Relationship Id="rId1" Type="http://schemas.openxmlformats.org/officeDocument/2006/relationships/chart" Target="../charts/chart133.xml"/><Relationship Id="rId6" Type="http://schemas.openxmlformats.org/officeDocument/2006/relationships/chart" Target="../charts/chart138.xml"/><Relationship Id="rId11" Type="http://schemas.openxmlformats.org/officeDocument/2006/relationships/chart" Target="../charts/chart143.xml"/><Relationship Id="rId5" Type="http://schemas.openxmlformats.org/officeDocument/2006/relationships/chart" Target="../charts/chart137.xml"/><Relationship Id="rId10" Type="http://schemas.openxmlformats.org/officeDocument/2006/relationships/chart" Target="../charts/chart142.xml"/><Relationship Id="rId4" Type="http://schemas.openxmlformats.org/officeDocument/2006/relationships/chart" Target="../charts/chart136.xml"/><Relationship Id="rId9" Type="http://schemas.openxmlformats.org/officeDocument/2006/relationships/chart" Target="../charts/chart141.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152.xml"/><Relationship Id="rId3" Type="http://schemas.openxmlformats.org/officeDocument/2006/relationships/chart" Target="../charts/chart147.xml"/><Relationship Id="rId7" Type="http://schemas.openxmlformats.org/officeDocument/2006/relationships/chart" Target="../charts/chart151.xml"/><Relationship Id="rId12" Type="http://schemas.openxmlformats.org/officeDocument/2006/relationships/chart" Target="../charts/chart156.xml"/><Relationship Id="rId2" Type="http://schemas.openxmlformats.org/officeDocument/2006/relationships/chart" Target="../charts/chart146.xml"/><Relationship Id="rId1" Type="http://schemas.openxmlformats.org/officeDocument/2006/relationships/chart" Target="../charts/chart145.xml"/><Relationship Id="rId6" Type="http://schemas.openxmlformats.org/officeDocument/2006/relationships/chart" Target="../charts/chart150.xml"/><Relationship Id="rId11" Type="http://schemas.openxmlformats.org/officeDocument/2006/relationships/chart" Target="../charts/chart155.xml"/><Relationship Id="rId5" Type="http://schemas.openxmlformats.org/officeDocument/2006/relationships/chart" Target="../charts/chart149.xml"/><Relationship Id="rId10" Type="http://schemas.openxmlformats.org/officeDocument/2006/relationships/chart" Target="../charts/chart154.xml"/><Relationship Id="rId4" Type="http://schemas.openxmlformats.org/officeDocument/2006/relationships/chart" Target="../charts/chart148.xml"/><Relationship Id="rId9" Type="http://schemas.openxmlformats.org/officeDocument/2006/relationships/chart" Target="../charts/chart153.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64.xml"/><Relationship Id="rId3" Type="http://schemas.openxmlformats.org/officeDocument/2006/relationships/chart" Target="../charts/chart159.xml"/><Relationship Id="rId7" Type="http://schemas.openxmlformats.org/officeDocument/2006/relationships/chart" Target="../charts/chart163.xml"/><Relationship Id="rId12" Type="http://schemas.openxmlformats.org/officeDocument/2006/relationships/chart" Target="../charts/chart168.xml"/><Relationship Id="rId2" Type="http://schemas.openxmlformats.org/officeDocument/2006/relationships/chart" Target="../charts/chart158.xml"/><Relationship Id="rId1" Type="http://schemas.openxmlformats.org/officeDocument/2006/relationships/chart" Target="../charts/chart157.xml"/><Relationship Id="rId6" Type="http://schemas.openxmlformats.org/officeDocument/2006/relationships/chart" Target="../charts/chart162.xml"/><Relationship Id="rId11" Type="http://schemas.openxmlformats.org/officeDocument/2006/relationships/chart" Target="../charts/chart167.xml"/><Relationship Id="rId5" Type="http://schemas.openxmlformats.org/officeDocument/2006/relationships/chart" Target="../charts/chart161.xml"/><Relationship Id="rId10" Type="http://schemas.openxmlformats.org/officeDocument/2006/relationships/chart" Target="../charts/chart166.xml"/><Relationship Id="rId4" Type="http://schemas.openxmlformats.org/officeDocument/2006/relationships/chart" Target="../charts/chart160.xml"/><Relationship Id="rId9" Type="http://schemas.openxmlformats.org/officeDocument/2006/relationships/chart" Target="../charts/chart165.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176.xml"/><Relationship Id="rId3" Type="http://schemas.openxmlformats.org/officeDocument/2006/relationships/chart" Target="../charts/chart171.xml"/><Relationship Id="rId7" Type="http://schemas.openxmlformats.org/officeDocument/2006/relationships/chart" Target="../charts/chart175.xml"/><Relationship Id="rId12" Type="http://schemas.openxmlformats.org/officeDocument/2006/relationships/chart" Target="../charts/chart180.xml"/><Relationship Id="rId2" Type="http://schemas.openxmlformats.org/officeDocument/2006/relationships/chart" Target="../charts/chart170.xml"/><Relationship Id="rId1" Type="http://schemas.openxmlformats.org/officeDocument/2006/relationships/chart" Target="../charts/chart169.xml"/><Relationship Id="rId6" Type="http://schemas.openxmlformats.org/officeDocument/2006/relationships/chart" Target="../charts/chart174.xml"/><Relationship Id="rId11" Type="http://schemas.openxmlformats.org/officeDocument/2006/relationships/chart" Target="../charts/chart179.xml"/><Relationship Id="rId5" Type="http://schemas.openxmlformats.org/officeDocument/2006/relationships/chart" Target="../charts/chart173.xml"/><Relationship Id="rId10" Type="http://schemas.openxmlformats.org/officeDocument/2006/relationships/chart" Target="../charts/chart178.xml"/><Relationship Id="rId4" Type="http://schemas.openxmlformats.org/officeDocument/2006/relationships/chart" Target="../charts/chart172.xml"/><Relationship Id="rId9" Type="http://schemas.openxmlformats.org/officeDocument/2006/relationships/chart" Target="../charts/chart177.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88.xml"/><Relationship Id="rId3" Type="http://schemas.openxmlformats.org/officeDocument/2006/relationships/chart" Target="../charts/chart183.xml"/><Relationship Id="rId7" Type="http://schemas.openxmlformats.org/officeDocument/2006/relationships/chart" Target="../charts/chart187.xml"/><Relationship Id="rId12" Type="http://schemas.openxmlformats.org/officeDocument/2006/relationships/chart" Target="../charts/chart192.xml"/><Relationship Id="rId2" Type="http://schemas.openxmlformats.org/officeDocument/2006/relationships/chart" Target="../charts/chart182.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5" Type="http://schemas.openxmlformats.org/officeDocument/2006/relationships/chart" Target="../charts/chart185.xml"/><Relationship Id="rId10" Type="http://schemas.openxmlformats.org/officeDocument/2006/relationships/chart" Target="../charts/chart190.xml"/><Relationship Id="rId4" Type="http://schemas.openxmlformats.org/officeDocument/2006/relationships/chart" Target="../charts/chart184.xml"/><Relationship Id="rId9" Type="http://schemas.openxmlformats.org/officeDocument/2006/relationships/chart" Target="../charts/chart189.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200.xml"/><Relationship Id="rId3" Type="http://schemas.openxmlformats.org/officeDocument/2006/relationships/chart" Target="../charts/chart195.xml"/><Relationship Id="rId7" Type="http://schemas.openxmlformats.org/officeDocument/2006/relationships/chart" Target="../charts/chart199.xml"/><Relationship Id="rId12" Type="http://schemas.openxmlformats.org/officeDocument/2006/relationships/chart" Target="../charts/chart204.xml"/><Relationship Id="rId2" Type="http://schemas.openxmlformats.org/officeDocument/2006/relationships/chart" Target="../charts/chart194.xml"/><Relationship Id="rId1" Type="http://schemas.openxmlformats.org/officeDocument/2006/relationships/chart" Target="../charts/chart193.xml"/><Relationship Id="rId6" Type="http://schemas.openxmlformats.org/officeDocument/2006/relationships/chart" Target="../charts/chart198.xml"/><Relationship Id="rId11" Type="http://schemas.openxmlformats.org/officeDocument/2006/relationships/chart" Target="../charts/chart203.xml"/><Relationship Id="rId5" Type="http://schemas.openxmlformats.org/officeDocument/2006/relationships/chart" Target="../charts/chart197.xml"/><Relationship Id="rId10" Type="http://schemas.openxmlformats.org/officeDocument/2006/relationships/chart" Target="../charts/chart202.xml"/><Relationship Id="rId4" Type="http://schemas.openxmlformats.org/officeDocument/2006/relationships/chart" Target="../charts/chart196.xml"/><Relationship Id="rId9" Type="http://schemas.openxmlformats.org/officeDocument/2006/relationships/chart" Target="../charts/chart201.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212.xml"/><Relationship Id="rId3" Type="http://schemas.openxmlformats.org/officeDocument/2006/relationships/chart" Target="../charts/chart207.xml"/><Relationship Id="rId7" Type="http://schemas.openxmlformats.org/officeDocument/2006/relationships/chart" Target="../charts/chart211.xml"/><Relationship Id="rId12" Type="http://schemas.openxmlformats.org/officeDocument/2006/relationships/chart" Target="../charts/chart216.xml"/><Relationship Id="rId2" Type="http://schemas.openxmlformats.org/officeDocument/2006/relationships/chart" Target="../charts/chart206.xml"/><Relationship Id="rId1" Type="http://schemas.openxmlformats.org/officeDocument/2006/relationships/chart" Target="../charts/chart205.xml"/><Relationship Id="rId6" Type="http://schemas.openxmlformats.org/officeDocument/2006/relationships/chart" Target="../charts/chart210.xml"/><Relationship Id="rId11" Type="http://schemas.openxmlformats.org/officeDocument/2006/relationships/chart" Target="../charts/chart215.xml"/><Relationship Id="rId5" Type="http://schemas.openxmlformats.org/officeDocument/2006/relationships/chart" Target="../charts/chart209.xml"/><Relationship Id="rId10" Type="http://schemas.openxmlformats.org/officeDocument/2006/relationships/chart" Target="../charts/chart214.xml"/><Relationship Id="rId4" Type="http://schemas.openxmlformats.org/officeDocument/2006/relationships/chart" Target="../charts/chart208.xml"/><Relationship Id="rId9" Type="http://schemas.openxmlformats.org/officeDocument/2006/relationships/chart" Target="../charts/chart213.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224.xml"/><Relationship Id="rId3" Type="http://schemas.openxmlformats.org/officeDocument/2006/relationships/chart" Target="../charts/chart219.xml"/><Relationship Id="rId7" Type="http://schemas.openxmlformats.org/officeDocument/2006/relationships/chart" Target="../charts/chart223.xml"/><Relationship Id="rId12" Type="http://schemas.openxmlformats.org/officeDocument/2006/relationships/chart" Target="../charts/chart228.xml"/><Relationship Id="rId2" Type="http://schemas.openxmlformats.org/officeDocument/2006/relationships/chart" Target="../charts/chart218.xml"/><Relationship Id="rId1" Type="http://schemas.openxmlformats.org/officeDocument/2006/relationships/chart" Target="../charts/chart217.xml"/><Relationship Id="rId6" Type="http://schemas.openxmlformats.org/officeDocument/2006/relationships/chart" Target="../charts/chart222.xml"/><Relationship Id="rId11" Type="http://schemas.openxmlformats.org/officeDocument/2006/relationships/chart" Target="../charts/chart227.xml"/><Relationship Id="rId5" Type="http://schemas.openxmlformats.org/officeDocument/2006/relationships/chart" Target="../charts/chart221.xml"/><Relationship Id="rId10" Type="http://schemas.openxmlformats.org/officeDocument/2006/relationships/chart" Target="../charts/chart226.xml"/><Relationship Id="rId4" Type="http://schemas.openxmlformats.org/officeDocument/2006/relationships/chart" Target="../charts/chart220.xml"/><Relationship Id="rId9" Type="http://schemas.openxmlformats.org/officeDocument/2006/relationships/chart" Target="../charts/chart225.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36.xml"/><Relationship Id="rId3" Type="http://schemas.openxmlformats.org/officeDocument/2006/relationships/chart" Target="../charts/chart231.xml"/><Relationship Id="rId7" Type="http://schemas.openxmlformats.org/officeDocument/2006/relationships/chart" Target="../charts/chart235.xml"/><Relationship Id="rId12" Type="http://schemas.openxmlformats.org/officeDocument/2006/relationships/chart" Target="../charts/chart240.xml"/><Relationship Id="rId2" Type="http://schemas.openxmlformats.org/officeDocument/2006/relationships/chart" Target="../charts/chart230.xml"/><Relationship Id="rId1" Type="http://schemas.openxmlformats.org/officeDocument/2006/relationships/chart" Target="../charts/chart229.xml"/><Relationship Id="rId6" Type="http://schemas.openxmlformats.org/officeDocument/2006/relationships/chart" Target="../charts/chart234.xml"/><Relationship Id="rId11" Type="http://schemas.openxmlformats.org/officeDocument/2006/relationships/chart" Target="../charts/chart239.xml"/><Relationship Id="rId5" Type="http://schemas.openxmlformats.org/officeDocument/2006/relationships/chart" Target="../charts/chart233.xml"/><Relationship Id="rId10" Type="http://schemas.openxmlformats.org/officeDocument/2006/relationships/chart" Target="../charts/chart238.xml"/><Relationship Id="rId4" Type="http://schemas.openxmlformats.org/officeDocument/2006/relationships/chart" Target="../charts/chart232.xml"/><Relationship Id="rId9" Type="http://schemas.openxmlformats.org/officeDocument/2006/relationships/chart" Target="../charts/chart237.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248.xml"/><Relationship Id="rId3" Type="http://schemas.openxmlformats.org/officeDocument/2006/relationships/chart" Target="../charts/chart243.xml"/><Relationship Id="rId7" Type="http://schemas.openxmlformats.org/officeDocument/2006/relationships/chart" Target="../charts/chart247.xml"/><Relationship Id="rId12" Type="http://schemas.openxmlformats.org/officeDocument/2006/relationships/chart" Target="../charts/chart252.xml"/><Relationship Id="rId2" Type="http://schemas.openxmlformats.org/officeDocument/2006/relationships/chart" Target="../charts/chart242.xml"/><Relationship Id="rId1" Type="http://schemas.openxmlformats.org/officeDocument/2006/relationships/chart" Target="../charts/chart241.xml"/><Relationship Id="rId6" Type="http://schemas.openxmlformats.org/officeDocument/2006/relationships/chart" Target="../charts/chart246.xml"/><Relationship Id="rId11" Type="http://schemas.openxmlformats.org/officeDocument/2006/relationships/chart" Target="../charts/chart251.xml"/><Relationship Id="rId5" Type="http://schemas.openxmlformats.org/officeDocument/2006/relationships/chart" Target="../charts/chart245.xml"/><Relationship Id="rId10" Type="http://schemas.openxmlformats.org/officeDocument/2006/relationships/chart" Target="../charts/chart250.xml"/><Relationship Id="rId4" Type="http://schemas.openxmlformats.org/officeDocument/2006/relationships/chart" Target="../charts/chart244.xml"/><Relationship Id="rId9" Type="http://schemas.openxmlformats.org/officeDocument/2006/relationships/chart" Target="../charts/chart249.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260.xml"/><Relationship Id="rId3" Type="http://schemas.openxmlformats.org/officeDocument/2006/relationships/chart" Target="../charts/chart255.xml"/><Relationship Id="rId7" Type="http://schemas.openxmlformats.org/officeDocument/2006/relationships/chart" Target="../charts/chart259.xml"/><Relationship Id="rId12" Type="http://schemas.openxmlformats.org/officeDocument/2006/relationships/chart" Target="../charts/chart264.xml"/><Relationship Id="rId2" Type="http://schemas.openxmlformats.org/officeDocument/2006/relationships/chart" Target="../charts/chart254.xml"/><Relationship Id="rId1" Type="http://schemas.openxmlformats.org/officeDocument/2006/relationships/chart" Target="../charts/chart253.xml"/><Relationship Id="rId6" Type="http://schemas.openxmlformats.org/officeDocument/2006/relationships/chart" Target="../charts/chart258.xml"/><Relationship Id="rId11" Type="http://schemas.openxmlformats.org/officeDocument/2006/relationships/chart" Target="../charts/chart263.xml"/><Relationship Id="rId5" Type="http://schemas.openxmlformats.org/officeDocument/2006/relationships/chart" Target="../charts/chart257.xml"/><Relationship Id="rId10" Type="http://schemas.openxmlformats.org/officeDocument/2006/relationships/chart" Target="../charts/chart262.xml"/><Relationship Id="rId4" Type="http://schemas.openxmlformats.org/officeDocument/2006/relationships/chart" Target="../charts/chart256.xml"/><Relationship Id="rId9" Type="http://schemas.openxmlformats.org/officeDocument/2006/relationships/chart" Target="../charts/chart261.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272.xml"/><Relationship Id="rId3" Type="http://schemas.openxmlformats.org/officeDocument/2006/relationships/chart" Target="../charts/chart267.xml"/><Relationship Id="rId7" Type="http://schemas.openxmlformats.org/officeDocument/2006/relationships/chart" Target="../charts/chart271.xml"/><Relationship Id="rId12" Type="http://schemas.openxmlformats.org/officeDocument/2006/relationships/chart" Target="../charts/chart276.xml"/><Relationship Id="rId2" Type="http://schemas.openxmlformats.org/officeDocument/2006/relationships/chart" Target="../charts/chart266.xml"/><Relationship Id="rId1" Type="http://schemas.openxmlformats.org/officeDocument/2006/relationships/chart" Target="../charts/chart265.xml"/><Relationship Id="rId6" Type="http://schemas.openxmlformats.org/officeDocument/2006/relationships/chart" Target="../charts/chart270.xml"/><Relationship Id="rId11" Type="http://schemas.openxmlformats.org/officeDocument/2006/relationships/chart" Target="../charts/chart275.xml"/><Relationship Id="rId5" Type="http://schemas.openxmlformats.org/officeDocument/2006/relationships/chart" Target="../charts/chart269.xml"/><Relationship Id="rId10" Type="http://schemas.openxmlformats.org/officeDocument/2006/relationships/chart" Target="../charts/chart274.xml"/><Relationship Id="rId4" Type="http://schemas.openxmlformats.org/officeDocument/2006/relationships/chart" Target="../charts/chart268.xml"/><Relationship Id="rId9" Type="http://schemas.openxmlformats.org/officeDocument/2006/relationships/chart" Target="../charts/chart273.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284.xml"/><Relationship Id="rId3" Type="http://schemas.openxmlformats.org/officeDocument/2006/relationships/chart" Target="../charts/chart279.xml"/><Relationship Id="rId7" Type="http://schemas.openxmlformats.org/officeDocument/2006/relationships/chart" Target="../charts/chart283.xml"/><Relationship Id="rId12" Type="http://schemas.openxmlformats.org/officeDocument/2006/relationships/chart" Target="../charts/chart288.xml"/><Relationship Id="rId2" Type="http://schemas.openxmlformats.org/officeDocument/2006/relationships/chart" Target="../charts/chart278.xml"/><Relationship Id="rId1" Type="http://schemas.openxmlformats.org/officeDocument/2006/relationships/chart" Target="../charts/chart277.xml"/><Relationship Id="rId6" Type="http://schemas.openxmlformats.org/officeDocument/2006/relationships/chart" Target="../charts/chart282.xml"/><Relationship Id="rId11" Type="http://schemas.openxmlformats.org/officeDocument/2006/relationships/chart" Target="../charts/chart287.xml"/><Relationship Id="rId5" Type="http://schemas.openxmlformats.org/officeDocument/2006/relationships/chart" Target="../charts/chart281.xml"/><Relationship Id="rId10" Type="http://schemas.openxmlformats.org/officeDocument/2006/relationships/chart" Target="../charts/chart286.xml"/><Relationship Id="rId4" Type="http://schemas.openxmlformats.org/officeDocument/2006/relationships/chart" Target="../charts/chart280.xml"/><Relationship Id="rId9" Type="http://schemas.openxmlformats.org/officeDocument/2006/relationships/chart" Target="../charts/chart285.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296.xml"/><Relationship Id="rId3" Type="http://schemas.openxmlformats.org/officeDocument/2006/relationships/chart" Target="../charts/chart291.xml"/><Relationship Id="rId7" Type="http://schemas.openxmlformats.org/officeDocument/2006/relationships/chart" Target="../charts/chart295.xml"/><Relationship Id="rId12" Type="http://schemas.openxmlformats.org/officeDocument/2006/relationships/chart" Target="../charts/chart300.xml"/><Relationship Id="rId2" Type="http://schemas.openxmlformats.org/officeDocument/2006/relationships/chart" Target="../charts/chart290.xml"/><Relationship Id="rId1" Type="http://schemas.openxmlformats.org/officeDocument/2006/relationships/chart" Target="../charts/chart289.xml"/><Relationship Id="rId6" Type="http://schemas.openxmlformats.org/officeDocument/2006/relationships/chart" Target="../charts/chart294.xml"/><Relationship Id="rId11" Type="http://schemas.openxmlformats.org/officeDocument/2006/relationships/chart" Target="../charts/chart299.xml"/><Relationship Id="rId5" Type="http://schemas.openxmlformats.org/officeDocument/2006/relationships/chart" Target="../charts/chart293.xml"/><Relationship Id="rId10" Type="http://schemas.openxmlformats.org/officeDocument/2006/relationships/chart" Target="../charts/chart298.xml"/><Relationship Id="rId4" Type="http://schemas.openxmlformats.org/officeDocument/2006/relationships/chart" Target="../charts/chart292.xml"/><Relationship Id="rId9" Type="http://schemas.openxmlformats.org/officeDocument/2006/relationships/chart" Target="../charts/chart297.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308.xml"/><Relationship Id="rId3" Type="http://schemas.openxmlformats.org/officeDocument/2006/relationships/chart" Target="../charts/chart303.xml"/><Relationship Id="rId7" Type="http://schemas.openxmlformats.org/officeDocument/2006/relationships/chart" Target="../charts/chart307.xml"/><Relationship Id="rId12" Type="http://schemas.openxmlformats.org/officeDocument/2006/relationships/chart" Target="../charts/chart312.xml"/><Relationship Id="rId2" Type="http://schemas.openxmlformats.org/officeDocument/2006/relationships/chart" Target="../charts/chart302.xml"/><Relationship Id="rId1" Type="http://schemas.openxmlformats.org/officeDocument/2006/relationships/chart" Target="../charts/chart301.xml"/><Relationship Id="rId6" Type="http://schemas.openxmlformats.org/officeDocument/2006/relationships/chart" Target="../charts/chart306.xml"/><Relationship Id="rId11" Type="http://schemas.openxmlformats.org/officeDocument/2006/relationships/chart" Target="../charts/chart311.xml"/><Relationship Id="rId5" Type="http://schemas.openxmlformats.org/officeDocument/2006/relationships/chart" Target="../charts/chart305.xml"/><Relationship Id="rId10" Type="http://schemas.openxmlformats.org/officeDocument/2006/relationships/chart" Target="../charts/chart310.xml"/><Relationship Id="rId4" Type="http://schemas.openxmlformats.org/officeDocument/2006/relationships/chart" Target="../charts/chart304.xml"/><Relationship Id="rId9" Type="http://schemas.openxmlformats.org/officeDocument/2006/relationships/chart" Target="../charts/chart309.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320.xml"/><Relationship Id="rId3" Type="http://schemas.openxmlformats.org/officeDocument/2006/relationships/chart" Target="../charts/chart315.xml"/><Relationship Id="rId7" Type="http://schemas.openxmlformats.org/officeDocument/2006/relationships/chart" Target="../charts/chart319.xml"/><Relationship Id="rId12" Type="http://schemas.openxmlformats.org/officeDocument/2006/relationships/chart" Target="../charts/chart324.xml"/><Relationship Id="rId2" Type="http://schemas.openxmlformats.org/officeDocument/2006/relationships/chart" Target="../charts/chart314.xml"/><Relationship Id="rId1" Type="http://schemas.openxmlformats.org/officeDocument/2006/relationships/chart" Target="../charts/chart313.xml"/><Relationship Id="rId6" Type="http://schemas.openxmlformats.org/officeDocument/2006/relationships/chart" Target="../charts/chart318.xml"/><Relationship Id="rId11" Type="http://schemas.openxmlformats.org/officeDocument/2006/relationships/chart" Target="../charts/chart323.xml"/><Relationship Id="rId5" Type="http://schemas.openxmlformats.org/officeDocument/2006/relationships/chart" Target="../charts/chart317.xml"/><Relationship Id="rId10" Type="http://schemas.openxmlformats.org/officeDocument/2006/relationships/chart" Target="../charts/chart322.xml"/><Relationship Id="rId4" Type="http://schemas.openxmlformats.org/officeDocument/2006/relationships/chart" Target="../charts/chart316.xml"/><Relationship Id="rId9" Type="http://schemas.openxmlformats.org/officeDocument/2006/relationships/chart" Target="../charts/chart321.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332.xml"/><Relationship Id="rId3" Type="http://schemas.openxmlformats.org/officeDocument/2006/relationships/chart" Target="../charts/chart327.xml"/><Relationship Id="rId7" Type="http://schemas.openxmlformats.org/officeDocument/2006/relationships/chart" Target="../charts/chart331.xml"/><Relationship Id="rId12" Type="http://schemas.openxmlformats.org/officeDocument/2006/relationships/chart" Target="../charts/chart336.xml"/><Relationship Id="rId2" Type="http://schemas.openxmlformats.org/officeDocument/2006/relationships/chart" Target="../charts/chart326.xml"/><Relationship Id="rId1" Type="http://schemas.openxmlformats.org/officeDocument/2006/relationships/chart" Target="../charts/chart325.xml"/><Relationship Id="rId6" Type="http://schemas.openxmlformats.org/officeDocument/2006/relationships/chart" Target="../charts/chart330.xml"/><Relationship Id="rId11" Type="http://schemas.openxmlformats.org/officeDocument/2006/relationships/chart" Target="../charts/chart335.xml"/><Relationship Id="rId5" Type="http://schemas.openxmlformats.org/officeDocument/2006/relationships/chart" Target="../charts/chart329.xml"/><Relationship Id="rId10" Type="http://schemas.openxmlformats.org/officeDocument/2006/relationships/chart" Target="../charts/chart334.xml"/><Relationship Id="rId4" Type="http://schemas.openxmlformats.org/officeDocument/2006/relationships/chart" Target="../charts/chart328.xml"/><Relationship Id="rId9" Type="http://schemas.openxmlformats.org/officeDocument/2006/relationships/chart" Target="../charts/chart33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drawing30.xml.rels><?xml version="1.0" encoding="UTF-8" standalone="yes"?>
<Relationships xmlns="http://schemas.openxmlformats.org/package/2006/relationships"><Relationship Id="rId8" Type="http://schemas.openxmlformats.org/officeDocument/2006/relationships/chart" Target="../charts/chart344.xml"/><Relationship Id="rId3" Type="http://schemas.openxmlformats.org/officeDocument/2006/relationships/chart" Target="../charts/chart339.xml"/><Relationship Id="rId7" Type="http://schemas.openxmlformats.org/officeDocument/2006/relationships/chart" Target="../charts/chart343.xml"/><Relationship Id="rId12" Type="http://schemas.openxmlformats.org/officeDocument/2006/relationships/chart" Target="../charts/chart348.xml"/><Relationship Id="rId2" Type="http://schemas.openxmlformats.org/officeDocument/2006/relationships/chart" Target="../charts/chart338.xml"/><Relationship Id="rId1" Type="http://schemas.openxmlformats.org/officeDocument/2006/relationships/chart" Target="../charts/chart337.xml"/><Relationship Id="rId6" Type="http://schemas.openxmlformats.org/officeDocument/2006/relationships/chart" Target="../charts/chart342.xml"/><Relationship Id="rId11" Type="http://schemas.openxmlformats.org/officeDocument/2006/relationships/chart" Target="../charts/chart347.xml"/><Relationship Id="rId5" Type="http://schemas.openxmlformats.org/officeDocument/2006/relationships/chart" Target="../charts/chart341.xml"/><Relationship Id="rId10" Type="http://schemas.openxmlformats.org/officeDocument/2006/relationships/chart" Target="../charts/chart346.xml"/><Relationship Id="rId4" Type="http://schemas.openxmlformats.org/officeDocument/2006/relationships/chart" Target="../charts/chart340.xml"/><Relationship Id="rId9" Type="http://schemas.openxmlformats.org/officeDocument/2006/relationships/chart" Target="../charts/chart345.xml"/></Relationships>
</file>

<file path=xl/drawings/_rels/drawing31.xml.rels><?xml version="1.0" encoding="UTF-8" standalone="yes"?>
<Relationships xmlns="http://schemas.openxmlformats.org/package/2006/relationships"><Relationship Id="rId8" Type="http://schemas.openxmlformats.org/officeDocument/2006/relationships/chart" Target="../charts/chart356.xml"/><Relationship Id="rId3" Type="http://schemas.openxmlformats.org/officeDocument/2006/relationships/chart" Target="../charts/chart351.xml"/><Relationship Id="rId7" Type="http://schemas.openxmlformats.org/officeDocument/2006/relationships/chart" Target="../charts/chart355.xml"/><Relationship Id="rId12" Type="http://schemas.openxmlformats.org/officeDocument/2006/relationships/chart" Target="../charts/chart360.xml"/><Relationship Id="rId2" Type="http://schemas.openxmlformats.org/officeDocument/2006/relationships/chart" Target="../charts/chart350.xml"/><Relationship Id="rId1" Type="http://schemas.openxmlformats.org/officeDocument/2006/relationships/chart" Target="../charts/chart349.xml"/><Relationship Id="rId6" Type="http://schemas.openxmlformats.org/officeDocument/2006/relationships/chart" Target="../charts/chart354.xml"/><Relationship Id="rId11" Type="http://schemas.openxmlformats.org/officeDocument/2006/relationships/chart" Target="../charts/chart359.xml"/><Relationship Id="rId5" Type="http://schemas.openxmlformats.org/officeDocument/2006/relationships/chart" Target="../charts/chart353.xml"/><Relationship Id="rId10" Type="http://schemas.openxmlformats.org/officeDocument/2006/relationships/chart" Target="../charts/chart358.xml"/><Relationship Id="rId4" Type="http://schemas.openxmlformats.org/officeDocument/2006/relationships/chart" Target="../charts/chart352.xml"/><Relationship Id="rId9" Type="http://schemas.openxmlformats.org/officeDocument/2006/relationships/chart" Target="../charts/chart357.xml"/></Relationships>
</file>

<file path=xl/drawings/_rels/drawing32.xml.rels><?xml version="1.0" encoding="UTF-8" standalone="yes"?>
<Relationships xmlns="http://schemas.openxmlformats.org/package/2006/relationships"><Relationship Id="rId8" Type="http://schemas.openxmlformats.org/officeDocument/2006/relationships/chart" Target="../charts/chart368.xml"/><Relationship Id="rId3" Type="http://schemas.openxmlformats.org/officeDocument/2006/relationships/chart" Target="../charts/chart363.xml"/><Relationship Id="rId7" Type="http://schemas.openxmlformats.org/officeDocument/2006/relationships/chart" Target="../charts/chart367.xml"/><Relationship Id="rId12" Type="http://schemas.openxmlformats.org/officeDocument/2006/relationships/chart" Target="../charts/chart372.xml"/><Relationship Id="rId2" Type="http://schemas.openxmlformats.org/officeDocument/2006/relationships/chart" Target="../charts/chart362.xml"/><Relationship Id="rId1" Type="http://schemas.openxmlformats.org/officeDocument/2006/relationships/chart" Target="../charts/chart361.xml"/><Relationship Id="rId6" Type="http://schemas.openxmlformats.org/officeDocument/2006/relationships/chart" Target="../charts/chart366.xml"/><Relationship Id="rId11" Type="http://schemas.openxmlformats.org/officeDocument/2006/relationships/chart" Target="../charts/chart371.xml"/><Relationship Id="rId5" Type="http://schemas.openxmlformats.org/officeDocument/2006/relationships/chart" Target="../charts/chart365.xml"/><Relationship Id="rId10" Type="http://schemas.openxmlformats.org/officeDocument/2006/relationships/chart" Target="../charts/chart370.xml"/><Relationship Id="rId4" Type="http://schemas.openxmlformats.org/officeDocument/2006/relationships/chart" Target="../charts/chart364.xml"/><Relationship Id="rId9" Type="http://schemas.openxmlformats.org/officeDocument/2006/relationships/chart" Target="../charts/chart36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12" Type="http://schemas.openxmlformats.org/officeDocument/2006/relationships/chart" Target="../charts/chart36.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0" Type="http://schemas.openxmlformats.org/officeDocument/2006/relationships/chart" Target="../charts/chart34.xml"/><Relationship Id="rId4" Type="http://schemas.openxmlformats.org/officeDocument/2006/relationships/chart" Target="../charts/chart28.xml"/><Relationship Id="rId9" Type="http://schemas.openxmlformats.org/officeDocument/2006/relationships/chart" Target="../charts/chart33.xml"/></Relationships>
</file>

<file path=xl/drawings/_rels/drawing5.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56.xml"/><Relationship Id="rId3" Type="http://schemas.openxmlformats.org/officeDocument/2006/relationships/chart" Target="../charts/chart51.xml"/><Relationship Id="rId7" Type="http://schemas.openxmlformats.org/officeDocument/2006/relationships/chart" Target="../charts/chart55.xml"/><Relationship Id="rId12" Type="http://schemas.openxmlformats.org/officeDocument/2006/relationships/chart" Target="../charts/chart60.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5" Type="http://schemas.openxmlformats.org/officeDocument/2006/relationships/chart" Target="../charts/chart53.xml"/><Relationship Id="rId10" Type="http://schemas.openxmlformats.org/officeDocument/2006/relationships/chart" Target="../charts/chart58.xml"/><Relationship Id="rId4" Type="http://schemas.openxmlformats.org/officeDocument/2006/relationships/chart" Target="../charts/chart52.xml"/><Relationship Id="rId9" Type="http://schemas.openxmlformats.org/officeDocument/2006/relationships/chart" Target="../charts/chart57.xml"/></Relationships>
</file>

<file path=xl/drawings/_rels/drawing7.xml.rels><?xml version="1.0" encoding="UTF-8" standalone="yes"?>
<Relationships xmlns="http://schemas.openxmlformats.org/package/2006/relationships"><Relationship Id="rId8" Type="http://schemas.openxmlformats.org/officeDocument/2006/relationships/chart" Target="../charts/chart68.xml"/><Relationship Id="rId3" Type="http://schemas.openxmlformats.org/officeDocument/2006/relationships/chart" Target="../charts/chart63.xml"/><Relationship Id="rId7" Type="http://schemas.openxmlformats.org/officeDocument/2006/relationships/chart" Target="../charts/chart67.xml"/><Relationship Id="rId12" Type="http://schemas.openxmlformats.org/officeDocument/2006/relationships/chart" Target="../charts/chart72.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5" Type="http://schemas.openxmlformats.org/officeDocument/2006/relationships/chart" Target="../charts/chart65.xml"/><Relationship Id="rId10" Type="http://schemas.openxmlformats.org/officeDocument/2006/relationships/chart" Target="../charts/chart70.xml"/><Relationship Id="rId4" Type="http://schemas.openxmlformats.org/officeDocument/2006/relationships/chart" Target="../charts/chart64.xml"/><Relationship Id="rId9" Type="http://schemas.openxmlformats.org/officeDocument/2006/relationships/chart" Target="../charts/chart6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80.xml"/><Relationship Id="rId3" Type="http://schemas.openxmlformats.org/officeDocument/2006/relationships/chart" Target="../charts/chart75.xml"/><Relationship Id="rId7" Type="http://schemas.openxmlformats.org/officeDocument/2006/relationships/chart" Target="../charts/chart79.xml"/><Relationship Id="rId12" Type="http://schemas.openxmlformats.org/officeDocument/2006/relationships/chart" Target="../charts/chart84.xml"/><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chart" Target="../charts/chart78.xml"/><Relationship Id="rId11" Type="http://schemas.openxmlformats.org/officeDocument/2006/relationships/chart" Target="../charts/chart83.xml"/><Relationship Id="rId5" Type="http://schemas.openxmlformats.org/officeDocument/2006/relationships/chart" Target="../charts/chart77.xml"/><Relationship Id="rId10" Type="http://schemas.openxmlformats.org/officeDocument/2006/relationships/chart" Target="../charts/chart82.xml"/><Relationship Id="rId4" Type="http://schemas.openxmlformats.org/officeDocument/2006/relationships/chart" Target="../charts/chart76.xml"/><Relationship Id="rId9" Type="http://schemas.openxmlformats.org/officeDocument/2006/relationships/chart" Target="../charts/chart81.xml"/></Relationships>
</file>

<file path=xl/drawings/_rels/drawing9.xml.rels><?xml version="1.0" encoding="UTF-8" standalone="yes"?>
<Relationships xmlns="http://schemas.openxmlformats.org/package/2006/relationships"><Relationship Id="rId8" Type="http://schemas.openxmlformats.org/officeDocument/2006/relationships/chart" Target="../charts/chart92.xml"/><Relationship Id="rId3" Type="http://schemas.openxmlformats.org/officeDocument/2006/relationships/chart" Target="../charts/chart87.xml"/><Relationship Id="rId7" Type="http://schemas.openxmlformats.org/officeDocument/2006/relationships/chart" Target="../charts/chart91.xml"/><Relationship Id="rId12" Type="http://schemas.openxmlformats.org/officeDocument/2006/relationships/chart" Target="../charts/chart96.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11" Type="http://schemas.openxmlformats.org/officeDocument/2006/relationships/chart" Target="../charts/chart95.xml"/><Relationship Id="rId5" Type="http://schemas.openxmlformats.org/officeDocument/2006/relationships/chart" Target="../charts/chart89.xml"/><Relationship Id="rId10" Type="http://schemas.openxmlformats.org/officeDocument/2006/relationships/chart" Target="../charts/chart94.xml"/><Relationship Id="rId4" Type="http://schemas.openxmlformats.org/officeDocument/2006/relationships/chart" Target="../charts/chart88.xml"/><Relationship Id="rId9" Type="http://schemas.openxmlformats.org/officeDocument/2006/relationships/chart" Target="../charts/chart93.xml"/></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57147</xdr:rowOff>
    </xdr:from>
    <xdr:to>
      <xdr:col>3</xdr:col>
      <xdr:colOff>66675</xdr:colOff>
      <xdr:row>20</xdr:row>
      <xdr:rowOff>209550</xdr:rowOff>
    </xdr:to>
    <xdr:sp macro="" textlink="">
      <xdr:nvSpPr>
        <xdr:cNvPr id="2" name="TextBox 1">
          <a:extLst>
            <a:ext uri="{FF2B5EF4-FFF2-40B4-BE49-F238E27FC236}">
              <a16:creationId xmlns:a16="http://schemas.microsoft.com/office/drawing/2014/main" id="{8873F1EA-ED26-4FD5-BFCA-62B1834DCA0B}"/>
            </a:ext>
          </a:extLst>
        </xdr:cNvPr>
        <xdr:cNvSpPr txBox="1"/>
      </xdr:nvSpPr>
      <xdr:spPr>
        <a:xfrm>
          <a:off x="47625" y="1171572"/>
          <a:ext cx="6858000" cy="5467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u="sng"/>
            <a:t>UK Highlights</a:t>
          </a:r>
        </a:p>
        <a:p>
          <a:endParaRPr lang="en-GB" sz="1200" u="sng"/>
        </a:p>
        <a:p>
          <a:endParaRPr lang="en-GB" sz="1200" u="sng"/>
        </a:p>
        <a:p>
          <a:r>
            <a:rPr lang="en-GB" sz="1200" u="sng" baseline="0"/>
            <a:t>Fleet</a:t>
          </a:r>
          <a:endParaRPr lang="en-GB" sz="1200" u="sng"/>
        </a:p>
        <a:p>
          <a:r>
            <a:rPr lang="en-GB" sz="1200" b="0" i="1" u="none" strike="noStrike">
              <a:solidFill>
                <a:schemeClr val="dk1"/>
              </a:solidFill>
              <a:effectLst/>
              <a:latin typeface="+mn-lt"/>
              <a:ea typeface="+mn-ea"/>
              <a:cs typeface="+mn-cs"/>
            </a:rPr>
            <a:t>- The number of active fishing vessels decreased from 4,548 in 2019 to 4,301 in 2020.</a:t>
          </a:r>
          <a:r>
            <a:rPr lang="en-GB" sz="1200" i="1"/>
            <a:t> </a:t>
          </a:r>
        </a:p>
        <a:p>
          <a:r>
            <a:rPr lang="en-GB" sz="1200" b="0" i="1" u="none" strike="noStrike">
              <a:solidFill>
                <a:schemeClr val="dk1"/>
              </a:solidFill>
              <a:effectLst/>
              <a:latin typeface="+mn-lt"/>
              <a:ea typeface="+mn-ea"/>
              <a:cs typeface="+mn-cs"/>
            </a:rPr>
            <a:t>- Of these vessels around 1,500 were deemed as low activity vessels with fishing income of less than £10,000 in the calendar year 2020.</a:t>
          </a:r>
          <a:r>
            <a:rPr lang="en-GB" sz="1200" i="1"/>
            <a:t> </a:t>
          </a:r>
        </a:p>
        <a:p>
          <a:r>
            <a:rPr lang="en-GB" sz="1200" i="1" u="none"/>
            <a:t>-</a:t>
          </a:r>
          <a:r>
            <a:rPr lang="en-GB" sz="1200" i="1" u="none" baseline="0"/>
            <a:t> </a:t>
          </a:r>
          <a:r>
            <a:rPr lang="en-GB" sz="1200" b="0" i="1" u="none" strike="noStrike">
              <a:solidFill>
                <a:schemeClr val="dk1"/>
              </a:solidFill>
              <a:effectLst/>
              <a:latin typeface="+mn-lt"/>
              <a:ea typeface="+mn-ea"/>
              <a:cs typeface="+mn-cs"/>
            </a:rPr>
            <a:t>Around 1,600 vessels were inactive in 2020. These vessels had an average length of 7.4m.</a:t>
          </a:r>
        </a:p>
        <a:p>
          <a:endParaRPr lang="en-GB" sz="1200" b="0" i="0" u="none" strike="noStrike">
            <a:solidFill>
              <a:schemeClr val="dk1"/>
            </a:solidFill>
            <a:effectLst/>
            <a:latin typeface="+mn-lt"/>
            <a:ea typeface="+mn-ea"/>
            <a:cs typeface="+mn-cs"/>
          </a:endParaRPr>
        </a:p>
        <a:p>
          <a:endParaRPr lang="en-GB" sz="1200" b="0" i="0" u="none" strike="noStrike">
            <a:solidFill>
              <a:schemeClr val="dk1"/>
            </a:solidFill>
            <a:effectLst/>
            <a:latin typeface="+mn-lt"/>
            <a:ea typeface="+mn-ea"/>
            <a:cs typeface="+mn-cs"/>
          </a:endParaRPr>
        </a:p>
        <a:p>
          <a:r>
            <a:rPr lang="en-GB" sz="1200" b="0" i="0" u="sng" strike="noStrike">
              <a:solidFill>
                <a:schemeClr val="dk1"/>
              </a:solidFill>
              <a:effectLst/>
              <a:latin typeface="+mn-lt"/>
              <a:ea typeface="+mn-ea"/>
              <a:cs typeface="+mn-cs"/>
            </a:rPr>
            <a:t>Landings</a:t>
          </a:r>
        </a:p>
        <a:p>
          <a:r>
            <a:rPr lang="en-GB" sz="1200" b="0" i="1" u="none" strike="noStrike">
              <a:solidFill>
                <a:schemeClr val="dk1"/>
              </a:solidFill>
              <a:effectLst/>
              <a:latin typeface="+mn-lt"/>
              <a:ea typeface="+mn-ea"/>
              <a:cs typeface="+mn-cs"/>
            </a:rPr>
            <a:t>-</a:t>
          </a:r>
          <a:r>
            <a:rPr lang="en-GB" sz="1200" b="0" i="1" u="none" strike="noStrike" baseline="0">
              <a:solidFill>
                <a:schemeClr val="dk1"/>
              </a:solidFill>
              <a:effectLst/>
              <a:latin typeface="+mn-lt"/>
              <a:ea typeface="+mn-ea"/>
              <a:cs typeface="+mn-cs"/>
            </a:rPr>
            <a:t> </a:t>
          </a:r>
          <a:r>
            <a:rPr lang="en-GB" sz="1200" b="0" i="1" u="none" strike="noStrike">
              <a:solidFill>
                <a:schemeClr val="dk1"/>
              </a:solidFill>
              <a:effectLst/>
              <a:latin typeface="+mn-lt"/>
              <a:ea typeface="+mn-ea"/>
              <a:cs typeface="+mn-cs"/>
            </a:rPr>
            <a:t>The UK fleet as a whole saw a</a:t>
          </a:r>
          <a:r>
            <a:rPr lang="en-GB" sz="1200" b="0" i="1" u="none" strike="noStrike" baseline="0">
              <a:solidFill>
                <a:schemeClr val="dk1"/>
              </a:solidFill>
              <a:effectLst/>
              <a:latin typeface="+mn-lt"/>
              <a:ea typeface="+mn-ea"/>
              <a:cs typeface="+mn-cs"/>
            </a:rPr>
            <a:t> de</a:t>
          </a:r>
          <a:r>
            <a:rPr lang="en-GB" sz="1200" b="0" i="1" u="none" strike="noStrike">
              <a:solidFill>
                <a:schemeClr val="dk1"/>
              </a:solidFill>
              <a:effectLst/>
              <a:latin typeface="+mn-lt"/>
              <a:ea typeface="+mn-ea"/>
              <a:cs typeface="+mn-cs"/>
            </a:rPr>
            <a:t>crease in fishing revenues from £990 million in 2019 to around £806 million in 2020 as fishing effort and prices decreased due</a:t>
          </a:r>
          <a:r>
            <a:rPr lang="en-GB" sz="1200" b="0" i="1" u="none" strike="noStrike" baseline="0">
              <a:solidFill>
                <a:schemeClr val="dk1"/>
              </a:solidFill>
              <a:effectLst/>
              <a:latin typeface="+mn-lt"/>
              <a:ea typeface="+mn-ea"/>
              <a:cs typeface="+mn-cs"/>
            </a:rPr>
            <a:t> to Covid-19 and lockdown closures</a:t>
          </a:r>
          <a:r>
            <a:rPr lang="en-GB" sz="1200" b="0" i="1" u="none" strike="noStrike">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en-GB" sz="1200" i="1">
              <a:solidFill>
                <a:schemeClr val="dk1"/>
              </a:solidFill>
              <a:effectLst/>
              <a:latin typeface="+mn-lt"/>
              <a:ea typeface="+mn-ea"/>
              <a:cs typeface="+mn-cs"/>
            </a:rPr>
            <a:t>- The average price per tonne of demersal and shellfish species decreased in 2020</a:t>
          </a:r>
          <a:r>
            <a:rPr lang="en-GB" sz="1200" i="1" baseline="0">
              <a:solidFill>
                <a:schemeClr val="dk1"/>
              </a:solidFill>
              <a:effectLst/>
              <a:latin typeface="+mn-lt"/>
              <a:ea typeface="+mn-ea"/>
              <a:cs typeface="+mn-cs"/>
            </a:rPr>
            <a:t> by 11% and 20% respectively. The average price of pelagic species did not change significantly in 2020 compared to 2019.</a:t>
          </a:r>
          <a:r>
            <a:rPr lang="en-GB" sz="1200" i="1">
              <a:solidFill>
                <a:schemeClr val="dk1"/>
              </a:solidFill>
              <a:effectLst/>
              <a:latin typeface="+mn-lt"/>
              <a:ea typeface="+mn-ea"/>
              <a:cs typeface="+mn-cs"/>
            </a:rPr>
            <a:t>  </a:t>
          </a:r>
        </a:p>
        <a:p>
          <a:r>
            <a:rPr lang="en-GB" sz="1200" b="0" i="1" u="none" strike="noStrike">
              <a:solidFill>
                <a:schemeClr val="dk1"/>
              </a:solidFill>
              <a:effectLst/>
              <a:latin typeface="+mn-lt"/>
              <a:ea typeface="+mn-ea"/>
              <a:cs typeface="+mn-cs"/>
            </a:rPr>
            <a:t>- Fishing revenues decreased in almost all Seafish defined segments compared to 2019.</a:t>
          </a:r>
          <a:r>
            <a:rPr lang="en-GB" sz="1200" i="1"/>
            <a:t> </a:t>
          </a:r>
        </a:p>
        <a:p>
          <a:endParaRPr lang="en-GB" sz="1200" u="none"/>
        </a:p>
        <a:p>
          <a:endParaRPr lang="en-GB" sz="1200" u="none"/>
        </a:p>
        <a:p>
          <a:r>
            <a:rPr lang="en-GB" sz="1200" u="sng"/>
            <a:t>Fuel Costs</a:t>
          </a:r>
        </a:p>
        <a:p>
          <a:r>
            <a:rPr lang="en-GB" sz="1200" b="0" i="1" u="none" strike="noStrike">
              <a:solidFill>
                <a:schemeClr val="dk1"/>
              </a:solidFill>
              <a:effectLst/>
              <a:latin typeface="+mn-lt"/>
              <a:ea typeface="+mn-ea"/>
              <a:cs typeface="+mn-cs"/>
            </a:rPr>
            <a:t>- Total spend on marine fuel in 2020 was an estimated £91 million, a 31% decrease from 2019</a:t>
          </a:r>
          <a:r>
            <a:rPr lang="en-GB" sz="1200" b="0" i="1" u="none" strike="noStrike" baseline="0">
              <a:solidFill>
                <a:schemeClr val="dk1"/>
              </a:solidFill>
              <a:effectLst/>
              <a:latin typeface="+mn-lt"/>
              <a:ea typeface="+mn-ea"/>
              <a:cs typeface="+mn-cs"/>
            </a:rPr>
            <a:t> due to reduced fishing effort and lower fuel prices</a:t>
          </a:r>
          <a:r>
            <a:rPr lang="en-GB" sz="1200" b="0" i="1" u="none" strike="noStrike">
              <a:solidFill>
                <a:schemeClr val="dk1"/>
              </a:solidFill>
              <a:effectLst/>
              <a:latin typeface="+mn-lt"/>
              <a:ea typeface="+mn-ea"/>
              <a:cs typeface="+mn-cs"/>
            </a:rPr>
            <a:t>. </a:t>
          </a:r>
          <a:r>
            <a:rPr lang="en-GB" sz="1200" i="1"/>
            <a:t> </a:t>
          </a:r>
        </a:p>
        <a:p>
          <a:r>
            <a:rPr lang="en-GB" sz="1200" b="0" i="1" u="none" strike="noStrike">
              <a:solidFill>
                <a:schemeClr val="dk1"/>
              </a:solidFill>
              <a:effectLst/>
              <a:latin typeface="+mn-lt"/>
              <a:ea typeface="+mn-ea"/>
              <a:cs typeface="+mn-cs"/>
            </a:rPr>
            <a:t>- Fuel cost as a proportion of total income remained stable at 17% in 2020. </a:t>
          </a:r>
          <a:r>
            <a:rPr lang="en-GB" sz="1200" i="1"/>
            <a:t> </a:t>
          </a:r>
        </a:p>
        <a:p>
          <a:endParaRPr lang="en-GB" sz="1200" b="0" i="0" u="none" strike="noStrike">
            <a:solidFill>
              <a:schemeClr val="dk1"/>
            </a:solidFill>
            <a:effectLst/>
            <a:latin typeface="+mn-lt"/>
            <a:ea typeface="+mn-ea"/>
            <a:cs typeface="+mn-cs"/>
          </a:endParaRPr>
        </a:p>
        <a:p>
          <a:r>
            <a:rPr lang="en-GB" sz="1200" b="0" i="0" u="sng" strike="noStrike">
              <a:solidFill>
                <a:schemeClr val="dk1"/>
              </a:solidFill>
              <a:effectLst/>
              <a:latin typeface="+mn-lt"/>
              <a:ea typeface="+mn-ea"/>
              <a:cs typeface="+mn-cs"/>
            </a:rPr>
            <a:t>Profit</a:t>
          </a:r>
        </a:p>
        <a:p>
          <a:r>
            <a:rPr lang="en-GB" sz="1200" b="0" i="1" u="none" strike="noStrike">
              <a:solidFill>
                <a:schemeClr val="dk1"/>
              </a:solidFill>
              <a:effectLst/>
              <a:latin typeface="+mn-lt"/>
              <a:ea typeface="+mn-ea"/>
              <a:cs typeface="+mn-cs"/>
            </a:rPr>
            <a:t>- Total fleet operating profit was an estimated £217 million in 2020, a 19% decrease from 2019. This decrease was due to lower prices leading to reduced fishing income.</a:t>
          </a:r>
          <a:r>
            <a:rPr lang="en-GB" sz="1200" i="1"/>
            <a:t>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4A6C935B-94E8-4085-9A1C-98F3C0798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3E357066-DF2B-4D75-8FB9-8E2E57C30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EEA51E3A-31B9-465B-B3F6-8EAEE80D0E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7ED602B8-8153-40CC-AF55-742DE523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DC655EB5-7089-4768-9E53-A59501D21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9F52E77C-FA31-4B65-969C-5729B525B2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0B9B05B5-306A-49B8-88A2-04B95F0CE2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15C5C6C5-7E1D-4594-914C-638EE1BFB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012865D6-A834-4A11-9EF1-1FCEC140CA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B35EEF84-B448-45DE-8EF1-3F7A78B40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3EEBA9CB-0B0F-4400-BDD3-3A8CCC0AD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E1736751-77B6-4D5C-BAE6-82CA8448B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6FB96E79-ED4B-40F0-92F2-A4EEEB96C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B1EA2AB2-E318-4727-A694-3D61E860B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6D1B9FA2-7C2E-4E6D-949F-57916FAE3F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85C65CAB-0750-4A19-8980-702AE24BFF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5A756601-4B04-4754-B708-4D80400EAC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B69104B9-DC3D-4AE6-A679-B419282133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64F0E4DD-64F5-4A46-B87D-71764601B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120B288A-5A0F-45D1-AAF2-8FDAEA324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0217C187-C893-4F2E-B89B-D24D5B0051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F890C768-9F6B-43D1-A83D-C0253F415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A58FE506-2A9A-43CF-8E2E-7BADAD4502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6BA8E29D-0490-418D-83A6-F99073DA47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CB2281C7-FE02-4398-B0BB-4501BF57F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245537D3-C1B7-4E0E-BFEA-B2B786006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5A0356C7-A017-4484-A529-8C9DB5D4C6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929E526A-5B08-414A-B998-DE5350889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4EFB47E8-4825-4435-9714-6BF1800CE9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2395316A-4188-4D04-BC1C-D7551EC73B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403D01AB-3851-496B-9371-3D99F5685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B94AD7B9-D5C7-4D29-AD24-F8DB22E8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CF4A0929-430F-4CE7-9CAA-606E201AD0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82BD41E0-4197-4490-A588-70052C732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D5A98FCE-E6B7-428F-BCE6-D092AD3E6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345E4622-49FE-46D3-BDC0-F8D25897B5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7754F609-30C4-4A00-8E2C-65C7D598AE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3EDACE07-5A9F-4359-967D-BDDBBFF28F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62909B97-E42A-4D0D-9978-F25A474B28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FEAEFB90-0D1A-49D9-8C70-0C8D17862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C1F483F0-4DCA-4BF8-BE6F-D35D8C4779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0598F43C-2D0B-4F74-B7E2-0F47C1CED9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8A46F212-262A-4C09-BDE0-8F354076D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E307B819-A87B-423C-A6E7-81EDFB0D62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89ACC23E-744D-4FE1-B939-9901800111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4E479CAA-C709-4BCF-A9FC-5CF7468A3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954B66BB-A8EE-4F63-B537-AF429EE2D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4919DA77-C1CB-43BB-AB5C-A66438B29D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076BB731-F7F2-4F29-BD32-DA9FB3991E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4AE7CBE0-00E2-4D47-8B7A-83ED00249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2A4959E7-08BA-43C2-97F3-302933A950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3D6E4365-1DC9-4078-B57F-F2437765D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0CA896A0-D02B-438B-B579-AEA628483C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5BD362F8-F07B-4971-B885-F78BBA1660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92539167-8D78-4030-B755-2A92CF823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C3A0BB3B-203F-4E9B-8872-E7976FD960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84F50C2B-D1C1-4756-A6C2-CD11DDC3DC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DB25D5F3-B826-4C89-B5B1-3264CB55B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B7CEAD0B-254B-49B6-ABA9-7A91BC2DB7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47900903-A770-44C8-A121-A3AC3F0C37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039A1BCA-3C5A-4E9C-98A8-874649302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08FCE7C2-4647-49F6-99F7-125F5C059A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3B0C792D-50D7-4D01-BE04-A455ECA7D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468061BB-2CA8-4AEF-9864-7B83C8D16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24265C8B-0ADF-4478-B23D-B88DC83DA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B2058336-6534-48BA-99D4-6960CC9B57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D727229D-0C1C-4B40-A5ED-2A717F3C3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F580AB03-1AAA-4343-BD59-9B329272AD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A8DDEC20-E956-4CEB-B048-B7A2176D6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F8876A3A-1D42-469F-A58F-37A0EE411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6D7B8653-6E02-4719-8F52-CE13CBF5DC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50752F95-A6B4-4695-8F6B-0C3B05B9C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4E11C03D-6D5B-4817-A3E8-7F131C0E51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83FACB56-B949-4414-A6B6-B4E5EF0DE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F0FDF098-C4BC-4596-B622-8AC3025021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EB8A1B35-694C-435F-9363-900CF17E7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AE416E3C-E91B-4F2D-894D-0662CECA60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E9B9777C-6ABB-49F5-BB70-6D282E4D5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0ED8287C-B351-49F4-A64D-AB04B730C8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7FC00786-8539-4974-9B7E-6FC3B8B729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AB3BEDDB-F520-407F-9700-7DB638B12A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CB0CC84B-AE41-4E4B-91AB-E6502943E7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CEC5A2CB-A100-4253-8B48-09DC932A5D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F78EBFC9-9B69-4313-B38E-53861BC5E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DF361F99-C454-4054-B186-F796A536F4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B5FF6447-F3DD-45D1-BFAA-6CF34E893E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26EE9327-A6DA-4DC7-98DE-6E0FC5898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9295D39F-D4DA-4D43-A162-1F03C32B3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B60C45EB-E765-44AC-ABBC-2C57221C3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099E26A7-B84A-4710-979D-46EA48C7C2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80941C52-1D24-42E4-BE8F-D338E32D45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BE9A038A-CBAB-403F-96BC-572F039CD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749A48D3-EDE2-40E1-9096-5D2AA3BAF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C63B203B-08C3-48B0-AEBF-532637341E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B4B54DEF-D97C-42E5-A573-D08C0F08A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2D186D5B-32AB-4605-8D68-1F57EA54C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01EC28AE-42BD-4208-8050-A81AF3C11C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19EDEC6B-A874-470A-A629-9EC67DB97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F846DA92-7A80-47E0-AB98-BAC53BEB1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5AA35878-069B-4C69-8D78-15D9E3138B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E607CA67-1673-4508-ADC1-0A7B8B1BEF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E177AC37-13DD-4543-9170-471C707A93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CFB8256D-2B01-4B10-880D-5E490A6A3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839AA263-8A72-48D9-B4C0-FC378FC494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C8DD7A5A-CD8C-461A-ABA1-CD2AF36AA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B337ABD0-CA9F-4060-9BD5-AB66523C4A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C1848E16-2D6C-4C9D-BF5F-B58F867A9E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6258C0AC-3076-4212-96F8-B9A712AD8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A936FA5A-025F-4DBC-9285-DC974740A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F63E6004-822F-47A5-BC80-D3ADCC3B0E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D35BE9BA-49B8-4D4A-B567-800EC9795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C86CE459-98AF-4A02-BB41-B4FDDCC5A2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C861AF7D-8021-4F20-99B7-36732E697D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6563F188-150E-43B6-B3C2-1A4E64CC59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45B53E76-0751-40FD-87FA-51157693A9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31584F0A-5F7D-464A-B92F-018FA652DF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DEFB790C-DA00-4C0F-980B-B7B5B8C23C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C316253F-EDAA-400A-9B65-32D96E605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86C6CB95-9E4F-4AC7-AD24-E5411EAB0E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E6F989C5-C095-4550-85A4-0DC51FED62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BD5E5603-0E45-4706-A09B-EEEF0EE36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F5AE8C2F-4ECA-4524-A019-9B3C0FA98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2655503A-B6A3-40AC-A9A9-7FFC61D29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09FFA7AC-168D-4A23-AE0C-41F0DC7AF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77D10FDE-1E82-4F0B-967C-BA83A2364B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B449C40A-B9EE-4841-8255-1FBF64E31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2A7B22FB-85C4-4B97-9558-A8783AE5E4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B058DB65-0271-4C74-A564-09790099A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561D1514-6B26-4314-8C6D-C2E552E060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50CC0C71-6FB1-4627-9678-7F5419CFD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9F73A397-A67B-4458-A746-CF80ADB4DB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7AF18EE2-291E-4A0D-AAAC-28218451A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C4394B5A-82B8-4EE9-86F0-8A316DB27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24895EBA-90A6-4156-8FE0-F4DAF32C63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87E28799-A58D-4D1E-AE0E-E080B8B7D5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E5A4D0F5-42BF-45D2-92C3-5EE4F042C8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5D88C62D-80F9-43FE-96E8-35DF04D19A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6CB0786D-6D84-4312-B9EA-7F07E33B4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5AE4E4C8-0FBA-4DC2-87F8-52DA4E5A74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D445EF69-D1B9-4F0D-8D9F-1719148D5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FD18D96F-6F2F-457E-BF06-3F71B3E669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806248EF-C708-433C-83FA-9564D8E171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CC52FC6D-6D50-406A-B4C1-816311061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761A5DE1-7221-4620-805C-CBCBE17CBC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2AB62D5E-388A-4B6C-92ED-6C075EC14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1000C8CA-6FF3-4785-9EB7-BD7C34FBEB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3E9D1A46-F032-4C44-A7B5-D4ED7FBE2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DEE45012-2F67-4236-9201-DF1030D277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163A6276-4164-4AEE-808C-89148E8A9F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BE7A153B-48AE-4106-AB7A-1C802FB0CF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9EAD4CD6-5BB7-4D1A-9DB2-56E64B887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0A53B6B2-12AA-4746-B96A-9302927BC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E9C40D73-5A5A-49DB-B3CE-A50A52E6F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0AE3A677-F9E0-4CE2-9502-F36A2E2A5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282CEE68-BE45-4EFA-80ED-9BC79AE587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FE9E223D-FA6E-4DEC-A503-CAFD24685E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C415EBC5-62AE-496E-B730-460C80982B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CE711835-9BEA-49FB-A4AE-DF0605ABC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BB9FAA4E-5B64-44D6-AF76-1E905FF80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6E31ACF6-3B05-43D2-B8AB-058DD4AB0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7B4ACFAC-AC6B-47E2-8413-84EB3A70B8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7ED1932C-A0F7-4DDA-A978-3D4CBAEB5F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A324E941-FB54-42AF-BF1C-3F5D6A522E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CF839C8F-DD06-49B4-95BB-DD980D8A1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B2A6F4CC-9548-46EB-A021-BB00BCFC11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EBCAE1BE-09FF-41B2-AAD4-A56E1086C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AB0ECF5A-1417-4B73-9CA9-EDA7BDA34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CBCFB7FA-FB2C-428A-8D71-EE82F54003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6F0DDF15-098B-433E-B328-CEA7A0D3B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0FE9E797-94B4-4D97-9462-C612A856A2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DE37C9EB-C6AF-4B98-9329-1F7E3D645B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2669C613-F547-4A8C-979F-6315FD7638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F31662CF-5B65-42FD-ADE3-9C8087EDF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7805B612-2F93-473E-B299-C09AFA8CCE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6A5FF626-FD37-4B81-8BD6-5BC425010E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063A3F75-75DC-46EE-BC3D-9B10855406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49F83EC7-9D7A-4E2E-B022-45E15C10E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0E441B31-BBBE-43F0-B9DC-BDBFB4E656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F8F110EE-9B02-4B16-A477-78BBD03FF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1687B8A7-9CC7-43C3-9498-176845411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3175D2CC-B1CD-4260-A911-CF51D5A766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2ACE75A5-465F-42AA-A94A-52AE6F32FB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ED7ACACC-72BB-4B84-952A-D0DAD3510A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10D03DD5-7FE6-464B-8338-7FFCB521B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9FDE1E00-C3D0-4863-91C5-9299372E04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8827952F-9A90-4F67-AF12-A967331ADF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0E12EA61-51B0-4B58-98F2-BE21415558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5404EE4E-0C6E-4522-A590-4F7DA4046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A0AB9F7F-98EC-451A-99EA-C749C1DF77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E22199DC-45D6-4AD7-A919-C97EB5DC5C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C8825AEE-EDE9-4941-9D42-42E0677342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09FCB123-C012-41BB-A01B-E71EA7D6EB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D5C6C424-9209-48B0-B584-EAAFED8291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485DCD96-7B96-43D8-BF49-90171F335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DE77AB65-FBA7-4926-8282-6B69C4B86F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1A948C72-29DA-4AFD-90D4-C92669D46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BFFC5F80-1B78-469F-B5CD-9ED835743E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F5ECFC2F-4E6F-464D-A496-0BF082C1E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722A5ABF-5192-4E4E-A3AC-438AA3109E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80070267-DC4F-41E7-968C-01D661B2F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A4600FAC-130D-4376-AB00-3339F81D4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6A49A14C-3AC1-4D27-9E2B-86CB1278D1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6AA28427-7F6F-49D6-B3F7-BD116F14D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22E40C44-2EDF-4201-82A0-1F1D48C682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DD681088-6814-41A6-B54D-14BC0D1F26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DA99CFA6-E8AD-4FAF-B618-7C4D88158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D81372A9-322D-46C6-A88C-8D8269A50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38CD5A82-EA5E-4B1D-A8AF-47B0FCEBF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D4626A22-2662-4DAF-B59C-A0866B9EDA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5BCF934B-6AE0-4F0F-AF02-31EEB20FB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9470CF8F-AE7E-43A5-BEA0-9EBD6EA1B7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73F8D76B-5A66-48CF-9F98-374685254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E467CAD9-E236-44F5-963E-962B5BACA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DBAA2CD9-E7BD-471A-AD0C-D2978D5D5F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6BF17578-4B15-4990-A177-0A7026C8C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CF7B9AEC-2009-4499-9BB7-4DFD63484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6CF14E44-0426-4EC1-95B8-C59A5AECBE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BEB985C5-3B64-4E5F-9E0E-33342DD8F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2399ECC4-77CD-4B75-99B4-6542AE51CC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9593FD2B-D44A-4C3F-BEF5-BCB3854BF7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79341224-8D9B-4778-A1B2-D7A62590CD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4581FBD3-5BEF-4861-8129-5445A9B4FB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F49AD475-3246-4F22-8A79-9487C60C4B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8C7B4AA9-081A-469A-98AE-5AE4A7E1B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D4D4B3D6-B5CA-485F-8861-5BB747679F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A18DE9B1-57E9-4FCE-8E64-2C03A737A9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FC6AFDE6-A042-4B67-AB02-96B5FC63D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DCAF5312-A53E-4AA2-9CBA-A20A1B5C98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41DA7C57-5EC3-4C8B-B95B-F980E62EC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C60C2EB5-90CB-41AE-81E5-B0FF1556E9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1850A4A0-12C1-495B-AFD0-7880F09BD8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1BEA29A3-703B-4C2D-9C4C-6D1E51C60F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81D8E744-16C9-482D-8873-4B1EAA8520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78C8467B-2E7A-4DAE-A7E4-25E9E4C51F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7EB4DBEC-38C1-4549-86FB-7AD7E92493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02E9D896-3CE4-4EEB-B697-78CEDFDD9A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1043848B-07D9-4009-B0E0-709ADB8B4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E2BD949D-B426-4B6B-9A12-F734632921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5184A915-2594-43F3-98BF-D2AF501499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FA3906FB-B1FE-4C41-870F-211530B16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BCB4DAC7-F78E-4675-9EF6-BB91173A1F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5BBFA924-629C-432B-ACD9-EC4E149268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503E19C1-1CFE-4908-9686-1D9170A6E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B33AA01A-A880-4F2B-B911-1714CBD01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67A3F61D-32F6-45D7-8819-5E96820F22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3E812380-1FCC-4AC3-ABD2-BE4246CF2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6B8239D4-6BFB-4048-A7A0-BE95B8861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B383B923-AF0E-488B-8D82-C7A5EA927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FFF6AA5E-2488-462B-8FFC-C183A38511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A199E08D-86E5-41E9-B66A-F32E788A0F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DC90585C-3824-46B4-B069-DCEFC42E7F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CA8B0967-48F2-4389-95C5-1DC8AE0B0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4C99FACE-5E9E-46C4-A8B9-472D51E22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A5FF0ADF-865F-46FF-8E73-E9CFF012D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4FF6D990-2F4B-4E5C-960B-A3B03D6FFC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2D71F2A9-8F38-499E-B3DE-DA5A5D8A6B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8FF7962B-7428-4532-820A-9F321B618D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87F9BA05-16C6-4FB8-923E-DF653EDC84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5D87B5F4-C485-428F-9DBD-76C322AC38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24FBCA20-AB1B-40A8-AA92-753EF4FAB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DB1A941B-BF6A-4563-B2DD-F9DEF5D8F5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E301A4DC-B2C5-4DF5-9160-3F3200726E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5407345F-CDB6-4617-86BA-01B608DC5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68C9B686-0851-4369-8223-D0A5121E28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480A56CF-61E3-4F17-94F4-1E0E8CDBC7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EA721824-541C-4141-B6BA-CE27B66817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1F7A74E1-A731-4D3C-A566-52EC43D137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3875B29B-960B-42FA-93D7-0F2A89F21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303D164B-4684-4A72-B581-23AF9B5E9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36E8096E-6E0E-4503-B69C-2915652E3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2EE93BFD-35DC-4117-BB73-64F9587F5D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5D9B7740-9C02-4C14-98F7-4052B583B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CE5E5241-04CA-4795-A874-CF05C20FAA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C85E8877-30C5-4F76-B3D5-315E64306E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BCB008CD-AD5A-4DA9-BCB6-7C934C966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348C09DB-BED6-4667-A287-49532B8C7C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E30B7F04-7044-42A0-846F-9A5AF918A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85870318-966A-4BEB-87DF-ACE74AB3A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6D108D4C-042E-4BC2-8CC8-99D4FCB14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811DB2F8-FB38-4180-A156-99CD35CD5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7DA9DF9A-C7BD-4A59-BA34-8E03B2DC64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ADABC3B4-B40A-4B3A-B217-EF405BEE81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ED95CBCB-20D7-4864-A21E-911E625F2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7BF287BB-9658-47CF-8FE1-9DE3F6D5FA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4A3A42BA-3577-41AE-9430-844D2FE20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CF030BDD-316A-47F2-A1D6-0C5CDA995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0F5DB18A-B2A6-4076-9510-02D25614B6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B46ECBA7-6DDF-42BA-B133-72C297C1A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08400FCC-041E-4101-A99D-5C62342244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48D0605E-9C50-4100-9363-74ECAFCAAF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CA321E5C-C246-43A5-9F2F-871F137D2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051C25D6-1514-4982-AD00-9979D1FC6D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A79C24B5-42BC-4FFA-B939-2023FA789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4563B8FA-3039-4359-9961-E3C75CFC6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8C22FDE6-4D59-4297-BF32-B2B78ACAE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778ED00C-3B59-4DA5-93CC-B592A1C4F5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F4FFA84F-83F8-43D0-90F6-3F2A0DB827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818EA03E-B42A-4BE1-8C53-D1928F1DEF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B57B8ACD-E318-49F2-B048-2D5B3849A1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86CA3594-0288-4825-B8C8-9C818188C4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23575001-E1FD-4ED1-8864-A3EA6567B5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795C00F4-3E44-478C-A4A8-9B4D1F4A7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385FBBB7-D898-40E0-81B9-328C0ED4FD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15CF73E4-E04F-4C1C-91B1-EB80D76F5B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55D4ABD5-D12E-46AE-B1CA-A022E5B756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872335F0-F394-4199-8ED4-8087BBCE58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4D313EC0-DAFA-4781-A2AE-CF1E3B503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5D9DCC3E-9BDD-4FCF-85F0-ECAACF38E2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7AD5E43C-84D6-43B8-8634-5E27F86706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A09A05DE-F82E-47ED-AF19-642E2DE540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62348292-DBAC-4265-9D5F-1512667CB5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7C2BDAD7-644B-40D7-ADD2-80C11F739F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04A2B981-F73D-4847-94DA-08714D6678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5406B91F-5A55-4882-92A8-8F1FD6FA64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E1B0536A-05C5-45B5-91F4-67B6E16AF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256DB4E0-9FDB-47D4-BBB7-39F0A667E3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806C27AD-9A32-49E8-9686-E2EB63E5BE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2874B2F2-D744-46A6-AB59-83C414E81C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D642DAFD-0C92-40A8-A7FC-85B239D05E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A3B420B6-A033-4E1B-898E-922FAC1EBB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02619F08-3612-46FE-BAA5-225C4049EE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CE3EB373-9E02-4404-A358-9100FE444E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ABA4055A-4995-433C-9081-75CC27857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FBC2A9A7-1B46-4D26-B504-36226532A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6AC16C22-4BED-42B0-A497-E94764BE1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80FF2996-4510-416B-8D8C-1D685CE422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19400B27-3D48-4011-A744-BD770443A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47796DD6-0288-43FF-A559-E157037D4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DBC9EEC9-4844-4AAD-9B88-CA76B32AA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E3E37E7C-40E5-4F75-ACEB-06FC93D932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A7AA98DD-C996-4BDF-9BF7-A8E1CCFD92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58E1C5F2-C421-426B-9D22-8E379BB2E7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4696F08D-B21D-421D-A06E-7DE767DEDF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E7816791-B7F5-4B0A-BD08-5BFC24EA6C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32BC622E-73A7-4546-8D7F-543B1ADDA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6B072723-E162-423F-8FC0-20D18D0130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5EB57331-DDAF-4726-9A2A-AFF8D9C6C9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D60F0C61-A727-4F87-A631-B3B2C679E4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F42A8689-0568-48DB-8FB8-EF58D6A43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7D31F8FF-2A11-4C7A-A617-930BAD63F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A3A6F969-E416-4EB2-9044-B65FE9BA33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F6B466D8-86F6-4B45-9866-750668CB3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BFC8541F-0EC4-4533-A9D7-6F55BBAC9C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20F719F2-5DF6-4480-A4B2-16173F098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B7FE9B30-4B97-4EFC-9FEC-C04767BEBE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4F27BD95-7246-4742-84A3-8A63B85FCE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C60DDF3A-4FB0-49B5-BD27-AE4CBA95E2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D4C67DBD-512F-4F2F-8397-72AD328EE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3B9546CE-4850-464A-8A57-22576D9F1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5628CD16-2865-4387-9EE1-CCD8EB80D8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FB69FE4C-56E0-408E-8E11-8F2217D16D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9D5DBFA5-0DBF-4B68-B915-8AFAD8538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FB45B670-59E8-4624-9A7B-E96BAEA37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C17FFD22-06A7-4E89-9C5B-DC221C11A7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8EFB208C-3B07-48A2-90CD-72E9BFF4B6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ED67AE32-EB37-4B13-A416-082516C34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D8F652A2-CB7C-4B32-AC60-7E8422F41E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8E4E520D-253F-47A4-9006-62A9D95527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758B22A0-FA3E-4558-A302-3FACCDCE26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C3A53EA6-BE6E-4772-84FE-FE56D8FFE8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id="{898DA8A9-26BF-4F83-8732-85AE27196C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id="{01CEC869-BA58-48E9-8EDD-5B2846952F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a:extLst>
            <a:ext uri="{FF2B5EF4-FFF2-40B4-BE49-F238E27FC236}">
              <a16:creationId xmlns:a16="http://schemas.microsoft.com/office/drawing/2014/main" id="{8898E304-7A12-4E2B-A78D-895B9BEFA8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id="{EBBC84B2-896A-4E78-A2F2-0C23B3FB26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id="{0D848FBA-9037-499D-AE14-845845B2DB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a:extLst>
            <a:ext uri="{FF2B5EF4-FFF2-40B4-BE49-F238E27FC236}">
              <a16:creationId xmlns:a16="http://schemas.microsoft.com/office/drawing/2014/main" id="{40CE5BC6-0BD1-4480-BFA1-696D84BC07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id="{9FDB2567-49D2-4243-94FF-1D28BF7DC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id="{5810A57A-6E8E-49D2-BF57-BC6B3D91C5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title="Hist_top5">
          <a:extLst>
            <a:ext uri="{FF2B5EF4-FFF2-40B4-BE49-F238E27FC236}">
              <a16:creationId xmlns:a16="http://schemas.microsoft.com/office/drawing/2014/main" id="{270EDBC1-D3E2-45C1-8B38-9537033AFE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a:extLst>
            <a:ext uri="{FF2B5EF4-FFF2-40B4-BE49-F238E27FC236}">
              <a16:creationId xmlns:a16="http://schemas.microsoft.com/office/drawing/2014/main" id="{8AD67FEF-5D26-4C93-8F33-DBB9292AAD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a:extLst>
            <a:ext uri="{FF2B5EF4-FFF2-40B4-BE49-F238E27FC236}">
              <a16:creationId xmlns:a16="http://schemas.microsoft.com/office/drawing/2014/main" id="{9FB72730-2CA2-40A8-9FBA-8BFF3E992F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a:extLst>
            <a:ext uri="{FF2B5EF4-FFF2-40B4-BE49-F238E27FC236}">
              <a16:creationId xmlns:a16="http://schemas.microsoft.com/office/drawing/2014/main" id="{D7618361-E875-4F66-A103-153B755EF2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seafishcouk.sharepoint.com/Mac/Mac/Mac/Departments/Economics/CONFIDENTIAL/EU%20Data%20Collection/Fleet%202014/04%20Reporting/Seafish/Time%20Series%202006-15%20(Excel)/Latest%20Version/Multi%20annual%20tables%20-%20seb%20v5.4%20SLedits%20180316.xlsm?78658EBE" TargetMode="External"/><Relationship Id="rId1" Type="http://schemas.openxmlformats.org/officeDocument/2006/relationships/externalLinkPath" Target="file:///\\78658EBE\Multi%20annual%20tables%20-%20seb%20v5.4%20SLedits%201803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ummary"/>
      <sheetName val="Segment tables to be exported"/>
      <sheetName val="Segment tables"/>
      <sheetName val="Summary data for export"/>
      <sheetName val="Landings tables"/>
      <sheetName val="Notes for export"/>
      <sheetName val="Highlights for export"/>
      <sheetName val="Segmentation Criteria export"/>
      <sheetName val="Sample size to be exported"/>
      <sheetName val="Op profit margin for export"/>
      <sheetName val="Net profit margin for export"/>
      <sheetName val="Segmentation"/>
      <sheetName val="Sample size"/>
      <sheetName val="Evol turnover"/>
      <sheetName val="Evol op profit"/>
      <sheetName val="Evol net profit"/>
      <sheetName val="Fuel cons per tonne landed"/>
      <sheetName val="Fuel cost per pound landed"/>
      <sheetName val="Multi_annual_results_average"/>
      <sheetName val="Multi_annual_results_sum"/>
      <sheetName val="Top_10_species"/>
      <sheetName val="Multi annual employment"/>
      <sheetName val="Mutli_annual_average_quartile"/>
      <sheetName val="Multi_annual_sum_quartile"/>
      <sheetName val="Top 10 species quartile"/>
      <sheetName val="Species names"/>
      <sheetName val="Export ru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a:themeElements>
    <a:clrScheme name="Office">
      <a:dk1>
        <a:srgbClr val="000000"/>
      </a:dk1>
      <a:lt1>
        <a:srgbClr val="FFFFFF"/>
      </a:lt1>
      <a:dk2>
        <a:srgbClr val="707271"/>
      </a:dk2>
      <a:lt2>
        <a:srgbClr val="169FDB"/>
      </a:lt2>
      <a:accent1>
        <a:srgbClr val="2273B9"/>
      </a:accent1>
      <a:accent2>
        <a:srgbClr val="648C2E"/>
      </a:accent2>
      <a:accent3>
        <a:srgbClr val="E87308"/>
      </a:accent3>
      <a:accent4>
        <a:srgbClr val="55585A"/>
      </a:accent4>
      <a:accent5>
        <a:srgbClr val="51AA81"/>
      </a:accent5>
      <a:accent6>
        <a:srgbClr val="E40D2C"/>
      </a:accent6>
      <a:hlink>
        <a:srgbClr val="E84A38"/>
      </a:hlink>
      <a:folHlink>
        <a:srgbClr val="087CBB"/>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E8AFB-CF30-4B70-9CBD-46641AFA2E62}">
  <sheetPr codeName="Feuil4"/>
  <dimension ref="A1:B43"/>
  <sheetViews>
    <sheetView tabSelected="1" workbookViewId="0"/>
  </sheetViews>
  <sheetFormatPr defaultColWidth="8.75" defaultRowHeight="12.75"/>
  <cols>
    <col min="1" max="1" width="4.25" style="2" customWidth="1"/>
    <col min="2" max="2" width="81.75" style="2" customWidth="1"/>
    <col min="3" max="16384" width="8.75" style="2"/>
  </cols>
  <sheetData>
    <row r="1" spans="1:2" ht="18">
      <c r="A1" s="1" t="s">
        <v>0</v>
      </c>
    </row>
    <row r="3" spans="1:2">
      <c r="B3" s="19" t="s">
        <v>1</v>
      </c>
    </row>
    <row r="4" spans="1:2">
      <c r="B4" s="19" t="s">
        <v>2</v>
      </c>
    </row>
    <row r="5" spans="1:2">
      <c r="B5" s="19" t="s">
        <v>3</v>
      </c>
    </row>
    <row r="6" spans="1:2">
      <c r="B6" s="19" t="s">
        <v>4</v>
      </c>
    </row>
    <row r="7" spans="1:2">
      <c r="B7" s="19" t="s">
        <v>5</v>
      </c>
    </row>
    <row r="8" spans="1:2">
      <c r="B8" s="19" t="s">
        <v>6</v>
      </c>
    </row>
    <row r="9" spans="1:2">
      <c r="B9" s="120" t="s">
        <v>7</v>
      </c>
    </row>
    <row r="10" spans="1:2">
      <c r="B10" s="19" t="s">
        <v>8</v>
      </c>
    </row>
    <row r="11" spans="1:2">
      <c r="B11" s="3"/>
    </row>
    <row r="12" spans="1:2">
      <c r="B12" s="4" t="s">
        <v>9</v>
      </c>
    </row>
    <row r="13" spans="1:2">
      <c r="B13" s="104" t="s">
        <v>10</v>
      </c>
    </row>
    <row r="14" spans="1:2">
      <c r="B14" s="104" t="s">
        <v>11</v>
      </c>
    </row>
    <row r="15" spans="1:2">
      <c r="B15" s="104" t="s">
        <v>12</v>
      </c>
    </row>
    <row r="16" spans="1:2">
      <c r="B16" s="104" t="s">
        <v>13</v>
      </c>
    </row>
    <row r="17" spans="2:2">
      <c r="B17" s="104" t="s">
        <v>14</v>
      </c>
    </row>
    <row r="18" spans="2:2">
      <c r="B18" s="104" t="s">
        <v>15</v>
      </c>
    </row>
    <row r="19" spans="2:2">
      <c r="B19" s="104" t="s">
        <v>16</v>
      </c>
    </row>
    <row r="20" spans="2:2">
      <c r="B20" s="104" t="s">
        <v>17</v>
      </c>
    </row>
    <row r="21" spans="2:2">
      <c r="B21" s="104" t="s">
        <v>18</v>
      </c>
    </row>
    <row r="22" spans="2:2">
      <c r="B22" s="104" t="s">
        <v>19</v>
      </c>
    </row>
    <row r="23" spans="2:2">
      <c r="B23" s="104" t="s">
        <v>20</v>
      </c>
    </row>
    <row r="24" spans="2:2">
      <c r="B24" s="104" t="s">
        <v>21</v>
      </c>
    </row>
    <row r="25" spans="2:2">
      <c r="B25" s="104" t="s">
        <v>22</v>
      </c>
    </row>
    <row r="26" spans="2:2">
      <c r="B26" s="104" t="s">
        <v>23</v>
      </c>
    </row>
    <row r="27" spans="2:2">
      <c r="B27" s="104" t="s">
        <v>24</v>
      </c>
    </row>
    <row r="28" spans="2:2">
      <c r="B28" s="104" t="s">
        <v>25</v>
      </c>
    </row>
    <row r="29" spans="2:2">
      <c r="B29" s="104" t="s">
        <v>26</v>
      </c>
    </row>
    <row r="30" spans="2:2">
      <c r="B30" s="104" t="s">
        <v>27</v>
      </c>
    </row>
    <row r="31" spans="2:2">
      <c r="B31" s="104" t="s">
        <v>28</v>
      </c>
    </row>
    <row r="32" spans="2:2">
      <c r="B32" s="104" t="s">
        <v>29</v>
      </c>
    </row>
    <row r="33" spans="2:2">
      <c r="B33" s="104" t="s">
        <v>30</v>
      </c>
    </row>
    <row r="34" spans="2:2">
      <c r="B34" s="104" t="s">
        <v>31</v>
      </c>
    </row>
    <row r="35" spans="2:2">
      <c r="B35" s="104" t="s">
        <v>32</v>
      </c>
    </row>
    <row r="36" spans="2:2">
      <c r="B36" s="104" t="s">
        <v>33</v>
      </c>
    </row>
    <row r="37" spans="2:2">
      <c r="B37" s="104" t="s">
        <v>34</v>
      </c>
    </row>
    <row r="38" spans="2:2">
      <c r="B38" s="104" t="s">
        <v>35</v>
      </c>
    </row>
    <row r="39" spans="2:2">
      <c r="B39" s="104" t="s">
        <v>36</v>
      </c>
    </row>
    <row r="40" spans="2:2">
      <c r="B40" s="104" t="s">
        <v>37</v>
      </c>
    </row>
    <row r="41" spans="2:2">
      <c r="B41" s="104" t="s">
        <v>38</v>
      </c>
    </row>
    <row r="42" spans="2:2">
      <c r="B42" s="104" t="s">
        <v>39</v>
      </c>
    </row>
    <row r="43" spans="2:2">
      <c r="B43" s="104" t="s">
        <v>40</v>
      </c>
    </row>
  </sheetData>
  <hyperlinks>
    <hyperlink ref="B6" location="Summary_projection" display="Summary 2020" xr:uid="{44ED38D6-CD9C-4282-96EF-EA36D4F7DAE1}"/>
    <hyperlink ref="B5" location="Summary_last" display="Summary 2019" xr:uid="{5503400F-1C19-49D3-94B3-5FC514D5E0A6}"/>
    <hyperlink ref="B13" location="Area_VIIa_demersal_trawl" display="Area VIIA demersal trawl" xr:uid="{9E8FD438-A6EA-484E-BBC7-6C07FC7DFBBF}"/>
    <hyperlink ref="B14" location="Area_VIIa_nephrops_o250kW" display="Area VIIA nephrops over 250kW" xr:uid="{C95D1982-CB37-4448-B33D-C0FAC1E73483}"/>
    <hyperlink ref="B15" location="Area_VIIa_nephrops_u250kW" display="Area VIIA nephrops under 250kW" xr:uid="{5AD4502A-95A9-4474-8B87-3334D9237F5F}"/>
    <hyperlink ref="B16" location="Area_VIIb_k_trawlers_24_40m" display="Area VIIBCDEFGHK 24-40m" xr:uid="{F63C243C-542E-40F7-BFED-DC4F5316D222}"/>
    <hyperlink ref="B17" location="Area_VIIb_k_trawlers_10_24m" display="Area VIIBCDEFGHK trawlers 10-24m" xr:uid="{055AC852-A27F-4777-8FD3-D0A3D4CF1778}"/>
    <hyperlink ref="B18" location="Gill_netters" display="Gill netters" xr:uid="{1EFE46F6-5F80-4AAB-B8B5-34E67D1036CF}"/>
    <hyperlink ref="B19" location="Inactive" display="Inactive" xr:uid="{0BCDA720-143F-4A80-B159-7FE4167474DE}"/>
    <hyperlink ref="B20" location="Longliners" display="Longliners" xr:uid="{571D3439-BF35-4E32-A921-DDF3258AE951}"/>
    <hyperlink ref="B21" location="Low_activity_over_10m" display="Low activity over 10m" xr:uid="{DD9EAE20-0FB1-432E-83BF-C7BF79A53B51}"/>
    <hyperlink ref="B22" location="Low_activity_under_10m" display="Low activity under 10m" xr:uid="{72BB105F-6DA7-4750-A2B7-30FC61516B0D}"/>
    <hyperlink ref="B23" location="NS_beam_trawl_over_300kW" display="North Sea beam trawl over 300kW" xr:uid="{2146467F-0518-4BFB-B908-AA58D8B4DD84}"/>
    <hyperlink ref="B24" location="NS_beam_trawl_under_300kW" display="North Sea beam trawl under 300kW" xr:uid="{E330B0E4-7A8C-4051-9B55-0C4B515361F3}"/>
    <hyperlink ref="B25" location="NS_nephrops_over_300kW" display="North Sea nephrops over 300kW" xr:uid="{73512B96-7698-407B-8548-94ABCC66B9AB}"/>
    <hyperlink ref="B26" location="NS_nephrops_under_300kW" display="North Sea nephrops under 300kW" xr:uid="{50FA0F71-D40E-4A94-BC81-9AB518A837D6}"/>
    <hyperlink ref="B27" location="NSWOS_demersal_over_24m" display="NSWOS demersal over 24m" xr:uid="{12FA21E5-E8B9-47AD-98F8-34DCB6A5FC94}"/>
    <hyperlink ref="B28" location="NSWOS_dem_pair_trawl_seine" display="NSWOS demersal pair trawl seine" xr:uid="{B91FD840-170C-4A3E-82D8-945CBCE595B5}"/>
    <hyperlink ref="B29" location="NSWOS_demersal_seiners" display="NSWOS demersal seiners" xr:uid="{CAAC1DB4-51F9-4D85-BC4C-1C6AFA905270}"/>
    <hyperlink ref="B30" location="NSWOS_demersal_u24m_o300kW" display="NSWOS demersal under 24m over 300kW" xr:uid="{BC077650-3109-4BB9-9DFF-8631110CD27A}"/>
    <hyperlink ref="B31" location="NSWOS_demersal_u24m_u300kW" display="NSWOS demersal under 24m under 300kW" xr:uid="{D5F166E8-1359-4FE0-8062-7A604301A06C}"/>
    <hyperlink ref="B32" location="Pots_and_traps_10_12m" display="Pots and traps 10-12m" xr:uid="{F23D0753-1523-41BA-BA2E-87632965AE6A}"/>
    <hyperlink ref="B33" location="Pots_and_traps_over_12m" display="Pots and traps over 12m" xr:uid="{4DA559B2-1013-4AC6-955C-CE26CF312F19}"/>
    <hyperlink ref="B34" location="South_West_beamers_o250kW" display="South West beamers over 250kW" xr:uid="{55B847AB-4F77-4B91-B071-3E809AC25A72}"/>
    <hyperlink ref="B35" location="South_West_beamers_u250kW" display="South West beamers under 250kW" xr:uid="{E7DC1F4B-1009-4F6B-BDD0-69C32DD52339}"/>
    <hyperlink ref="B36" location="UK_scallop_dredge_over_15m" display="UK scallop dredge over 15m" xr:uid="{0B54829A-8754-409B-96DB-40F12A1852EF}"/>
    <hyperlink ref="B37" location="UK_scallop_dredge_under_15m" display="UK scallop dredge under 15m" xr:uid="{E9FA9D24-1045-415C-8F16-A1652DB93CB3}"/>
    <hyperlink ref="B38" location="U10m_demersal_trawl_seine" display="Under 10m demersal trawl/seine" xr:uid="{B47BF252-3145-4FCA-B74F-85E904D0265E}"/>
    <hyperlink ref="B39" location="U10m_drift_fixed_nets" display="Under 10m drift and/or fixed nets" xr:uid="{1F357928-81F7-41C6-8866-D7DD9F8B5A68}"/>
    <hyperlink ref="B40" location="U10m_pots_and_traps" display="Under 10m pots and traps" xr:uid="{9B64967C-1AF1-4111-8C52-3C8B83A90C07}"/>
    <hyperlink ref="B41" location="U10m_using_hooks" display="Under 10m using hooks" xr:uid="{B6256720-A2D3-4D2A-9854-BAB9849C4F4E}"/>
    <hyperlink ref="B42" location="WOS_nephrops_over_250kW" display="WOS nephrops over 250kW" xr:uid="{94A8F0DA-CF82-4BCD-8228-4548A2C8FBA8}"/>
    <hyperlink ref="B43" location="WOS_nephrops_under_250kW" display="WOS nephrops under 250kW" xr:uid="{8801F24C-2DA9-44C4-A5BF-829E8A8F7465}"/>
    <hyperlink ref="B10" location="Net_profit_margin" display="Net profit margin" xr:uid="{D4123586-8640-4898-BF43-E5BA32807AC8}"/>
    <hyperlink ref="B9" location="Operating_profit_margin" display="Operating profit margin" xr:uid="{FBA393AF-E961-4097-BDA1-2352A38AF063}"/>
    <hyperlink ref="B8" location="Sample_rates" display="Sample rates" xr:uid="{9BC6AB8E-F481-4510-A2B6-E5181BA10FE8}"/>
    <hyperlink ref="B7" location="Segmentation_Criteria" display="Segmentation Criteria" xr:uid="{2639E851-7A9D-4292-8887-6250E7281190}"/>
    <hyperlink ref="B4" location="Highlights" display="Highlights" xr:uid="{1ADD570E-0A7D-40CB-881B-7003C46E1434}"/>
    <hyperlink ref="B3" location="Notes" display="Notes" xr:uid="{F19C34FD-C4CC-4589-832F-480F86C85DE2}"/>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B9B9F-1404-480A-A98B-232F34902901}">
  <sheetPr codeName="Feuil9">
    <pageSetUpPr fitToPage="1"/>
  </sheetPr>
  <dimension ref="A1:S192"/>
  <sheetViews>
    <sheetView topLeftCell="A40"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13</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15</v>
      </c>
      <c r="E3" s="27">
        <v>15</v>
      </c>
      <c r="F3" s="27">
        <v>15</v>
      </c>
      <c r="G3" s="27">
        <v>13</v>
      </c>
      <c r="H3" s="27">
        <v>12</v>
      </c>
      <c r="I3" s="27">
        <v>13</v>
      </c>
      <c r="J3" s="27">
        <v>11</v>
      </c>
      <c r="K3" s="27">
        <v>13</v>
      </c>
      <c r="L3" s="27">
        <v>14</v>
      </c>
      <c r="M3" s="27">
        <v>14</v>
      </c>
      <c r="N3" s="27">
        <v>12</v>
      </c>
      <c r="O3" s="28">
        <f t="shared" ref="O3:O41" si="0">IF(N3=0,"",IFERROR(IF(AND(N3&gt;0,D3&lt;0),"na",IF(AND(N3&lt;0,D3&lt;0),-1,1)*(N3-D3)/D3),""))</f>
        <v>-0.2</v>
      </c>
      <c r="P3" s="28">
        <f t="shared" ref="P3:P41" si="1">IF(N3=0,"",IFERROR(IF(AND(N3&gt;0,J3&lt;0),"na",IF(AND(N3&lt;0,J3&lt;0),-1,1)*(N3-J3)/J3),""))</f>
        <v>9.0909090909090912E-2</v>
      </c>
      <c r="Q3" s="206"/>
    </row>
    <row r="4" spans="1:17" ht="18" customHeight="1">
      <c r="A4" s="172"/>
      <c r="B4" s="29" t="s">
        <v>184</v>
      </c>
      <c r="C4" s="30"/>
      <c r="D4" s="30">
        <v>10694</v>
      </c>
      <c r="E4" s="30">
        <v>10011</v>
      </c>
      <c r="F4" s="30">
        <v>9622</v>
      </c>
      <c r="G4" s="30">
        <v>8015</v>
      </c>
      <c r="H4" s="30">
        <v>7276</v>
      </c>
      <c r="I4" s="30">
        <v>7913</v>
      </c>
      <c r="J4" s="30">
        <v>6835</v>
      </c>
      <c r="K4" s="30">
        <v>7969</v>
      </c>
      <c r="L4" s="30">
        <v>9405</v>
      </c>
      <c r="M4" s="30">
        <v>8971</v>
      </c>
      <c r="N4" s="30">
        <v>7165</v>
      </c>
      <c r="O4" s="28">
        <f t="shared" si="0"/>
        <v>-0.32999812979240695</v>
      </c>
      <c r="P4" s="28">
        <f t="shared" si="1"/>
        <v>4.8280907095830286E-2</v>
      </c>
      <c r="Q4" s="206"/>
    </row>
    <row r="5" spans="1:17" ht="18" customHeight="1">
      <c r="A5" s="172"/>
      <c r="B5" s="29" t="s">
        <v>185</v>
      </c>
      <c r="C5" s="30"/>
      <c r="D5" s="30">
        <v>5011</v>
      </c>
      <c r="E5" s="30">
        <v>4971</v>
      </c>
      <c r="F5" s="30">
        <v>4765</v>
      </c>
      <c r="G5" s="30">
        <v>4068</v>
      </c>
      <c r="H5" s="30">
        <v>3834</v>
      </c>
      <c r="I5" s="30">
        <v>3881</v>
      </c>
      <c r="J5" s="30">
        <v>3394</v>
      </c>
      <c r="K5" s="30">
        <v>3579</v>
      </c>
      <c r="L5" s="30">
        <v>4356</v>
      </c>
      <c r="M5" s="30">
        <v>4227</v>
      </c>
      <c r="N5" s="30">
        <v>3500</v>
      </c>
      <c r="O5" s="28">
        <f t="shared" si="0"/>
        <v>-0.30153661943723808</v>
      </c>
      <c r="P5" s="28">
        <f t="shared" si="1"/>
        <v>3.1231585150265175E-2</v>
      </c>
      <c r="Q5" s="207"/>
    </row>
    <row r="6" spans="1:17" ht="18" customHeight="1">
      <c r="A6" s="172"/>
      <c r="B6" s="29" t="s">
        <v>186</v>
      </c>
      <c r="C6" s="30"/>
      <c r="D6" s="30">
        <v>9702.869140625</v>
      </c>
      <c r="E6" s="30">
        <v>9335.0673828125</v>
      </c>
      <c r="F6" s="30">
        <v>8955.236328125</v>
      </c>
      <c r="G6" s="30">
        <v>7339.24658203125</v>
      </c>
      <c r="H6" s="30">
        <v>6894.904296875</v>
      </c>
      <c r="I6" s="30">
        <v>6922.0244140625</v>
      </c>
      <c r="J6" s="30">
        <v>6016.81787109375</v>
      </c>
      <c r="K6" s="30">
        <v>6719.5947265625</v>
      </c>
      <c r="L6" s="30">
        <v>7946.328125</v>
      </c>
      <c r="M6" s="30">
        <v>7595.21826171875</v>
      </c>
      <c r="N6" s="30">
        <v>6211.09326171875</v>
      </c>
      <c r="O6" s="28">
        <f t="shared" si="0"/>
        <v>-0.35987044948246422</v>
      </c>
      <c r="P6" s="28">
        <f t="shared" si="1"/>
        <v>3.228872716230053E-2</v>
      </c>
      <c r="Q6" s="206"/>
    </row>
    <row r="7" spans="1:17" ht="18" customHeight="1">
      <c r="A7" s="172"/>
      <c r="B7" s="29" t="s">
        <v>187</v>
      </c>
      <c r="C7" s="30"/>
      <c r="D7" s="30">
        <v>6952.09814453125</v>
      </c>
      <c r="E7" s="30">
        <v>7722.4677734375</v>
      </c>
      <c r="F7" s="30">
        <v>8893.0068359375</v>
      </c>
      <c r="G7" s="30">
        <v>6835.6767578125</v>
      </c>
      <c r="H7" s="30">
        <v>7683.697265625</v>
      </c>
      <c r="I7" s="30">
        <v>7957.62548828125</v>
      </c>
      <c r="J7" s="30">
        <v>6315.34375</v>
      </c>
      <c r="K7" s="30">
        <v>6570.19580078125</v>
      </c>
      <c r="L7" s="30">
        <v>6892.85205078125</v>
      </c>
      <c r="M7" s="30">
        <v>6329.7587890625</v>
      </c>
      <c r="N7" s="30">
        <v>6248.59765625</v>
      </c>
      <c r="O7" s="28">
        <f t="shared" si="0"/>
        <v>-0.10119254269082013</v>
      </c>
      <c r="P7" s="28">
        <f t="shared" si="1"/>
        <v>-1.0568877386919754E-2</v>
      </c>
      <c r="Q7" s="206"/>
    </row>
    <row r="8" spans="1:17" ht="18" customHeight="1">
      <c r="A8" s="172"/>
      <c r="B8" s="29" t="s">
        <v>188</v>
      </c>
      <c r="C8" s="31"/>
      <c r="D8" s="31">
        <f ca="1">23.216922*OFFSET(D$112,MATCH($N$1,$C$112:$C$113,0)-1,0)</f>
        <v>23.216922</v>
      </c>
      <c r="E8" s="31">
        <f ca="1">23.636022*OFFSET(E$112,MATCH($N$1,$C$112:$C$113,0)-1,0)</f>
        <v>23.636022000000001</v>
      </c>
      <c r="F8" s="31">
        <f ca="1">27.384556*OFFSET(F$112,MATCH($N$1,$C$112:$C$113,0)-1,0)</f>
        <v>27.384556</v>
      </c>
      <c r="G8" s="31">
        <f ca="1">19.895194*OFFSET(G$112,MATCH($N$1,$C$112:$C$113,0)-1,0)</f>
        <v>19.895194</v>
      </c>
      <c r="H8" s="31">
        <f ca="1">24.29805*OFFSET(H$112,MATCH($N$1,$C$112:$C$113,0)-1,0)</f>
        <v>24.29805</v>
      </c>
      <c r="I8" s="31">
        <f ca="1">24.217966*OFFSET(I$112,MATCH($N$1,$C$112:$C$113,0)-1,0)</f>
        <v>24.217966000000001</v>
      </c>
      <c r="J8" s="31">
        <f ca="1">22.610558*OFFSET(J$112,MATCH($N$1,$C$112:$C$113,0)-1,0)</f>
        <v>22.610558000000001</v>
      </c>
      <c r="K8" s="31">
        <f ca="1">21.996396*OFFSET(K$112,MATCH($N$1,$C$112:$C$113,0)-1,0)</f>
        <v>21.996396000000001</v>
      </c>
      <c r="L8" s="31">
        <f ca="1">23.681984*OFFSET(L$112,MATCH($N$1,$C$112:$C$113,0)-1,0)</f>
        <v>23.681984</v>
      </c>
      <c r="M8" s="31">
        <f ca="1">18.473218*OFFSET(M$112,MATCH($N$1,$C$112:$C$113,0)-1,0)</f>
        <v>18.473217999999999</v>
      </c>
      <c r="N8" s="31">
        <v>15.343518</v>
      </c>
      <c r="O8" s="28">
        <f t="shared" ca="1" si="0"/>
        <v>-0.33912350655267742</v>
      </c>
      <c r="P8" s="28">
        <f t="shared" ca="1" si="1"/>
        <v>-0.32140029449958735</v>
      </c>
      <c r="Q8" s="206"/>
    </row>
    <row r="9" spans="1:17" ht="18" customHeight="1">
      <c r="A9" s="172"/>
      <c r="B9" s="29" t="s">
        <v>189</v>
      </c>
      <c r="C9" s="30"/>
      <c r="D9" s="30">
        <v>3958</v>
      </c>
      <c r="E9" s="30">
        <v>3997</v>
      </c>
      <c r="F9" s="30">
        <v>4082</v>
      </c>
      <c r="G9" s="30">
        <v>3306</v>
      </c>
      <c r="H9" s="30">
        <v>3455</v>
      </c>
      <c r="I9" s="30">
        <v>3599</v>
      </c>
      <c r="J9" s="30">
        <v>3178</v>
      </c>
      <c r="K9" s="30">
        <v>3293</v>
      </c>
      <c r="L9" s="30">
        <v>3249</v>
      </c>
      <c r="M9" s="30">
        <v>3136</v>
      </c>
      <c r="N9" s="30">
        <v>3293</v>
      </c>
      <c r="O9" s="28">
        <f t="shared" si="0"/>
        <v>-0.16801414855987873</v>
      </c>
      <c r="P9" s="28">
        <f t="shared" si="1"/>
        <v>3.618628067967275E-2</v>
      </c>
      <c r="Q9" s="206"/>
    </row>
    <row r="10" spans="1:17" ht="18" customHeight="1">
      <c r="A10" s="172"/>
      <c r="B10" s="29" t="s">
        <v>190</v>
      </c>
      <c r="C10" s="30"/>
      <c r="D10" s="30">
        <v>297.21371459960938</v>
      </c>
      <c r="E10" s="30">
        <v>298.923583984375</v>
      </c>
      <c r="F10" s="30">
        <v>299.937255859375</v>
      </c>
      <c r="G10" s="30">
        <v>172.58683776855469</v>
      </c>
      <c r="H10" s="30">
        <v>90.315803527832031</v>
      </c>
      <c r="I10" s="30">
        <v>175.78660583496094</v>
      </c>
      <c r="J10" s="30">
        <v>163.00239562988281</v>
      </c>
      <c r="K10" s="30">
        <v>152.66622924804688</v>
      </c>
      <c r="L10" s="30">
        <v>161.28872680664063</v>
      </c>
      <c r="M10" s="30">
        <v>147.852294921875</v>
      </c>
      <c r="N10" s="30">
        <v>150.57023620605469</v>
      </c>
      <c r="O10" s="32">
        <f t="shared" si="0"/>
        <v>-0.49339405010668852</v>
      </c>
      <c r="P10" s="32">
        <f t="shared" si="1"/>
        <v>-7.6269795764578124E-2</v>
      </c>
      <c r="Q10" s="206"/>
    </row>
    <row r="11" spans="1:17" ht="18" customHeight="1">
      <c r="A11" s="173" t="s">
        <v>191</v>
      </c>
      <c r="B11" s="33" t="s">
        <v>192</v>
      </c>
      <c r="C11" s="34"/>
      <c r="D11" s="34">
        <v>35.066665649414063</v>
      </c>
      <c r="E11" s="34">
        <v>35.060001373291016</v>
      </c>
      <c r="F11" s="34">
        <v>33.471332550048828</v>
      </c>
      <c r="G11" s="34">
        <v>33.782306671142578</v>
      </c>
      <c r="H11" s="34">
        <v>33.849166870117188</v>
      </c>
      <c r="I11" s="34">
        <v>32.664615631103516</v>
      </c>
      <c r="J11" s="34">
        <v>33.762725830078125</v>
      </c>
      <c r="K11" s="34">
        <v>31.341537475585938</v>
      </c>
      <c r="L11" s="34">
        <v>32.800712585449219</v>
      </c>
      <c r="M11" s="34">
        <v>31.847143173217773</v>
      </c>
      <c r="N11" s="34">
        <v>31.928333282470703</v>
      </c>
      <c r="O11" s="28">
        <f t="shared" si="0"/>
        <v>-8.9496172756185571E-2</v>
      </c>
      <c r="P11" s="28">
        <f t="shared" si="1"/>
        <v>-5.4331885311618429E-2</v>
      </c>
      <c r="Q11" s="206"/>
    </row>
    <row r="12" spans="1:17" ht="18" customHeight="1">
      <c r="A12" s="174"/>
      <c r="B12" s="35" t="s">
        <v>184</v>
      </c>
      <c r="C12" s="30"/>
      <c r="D12" s="30">
        <v>712.933349609375</v>
      </c>
      <c r="E12" s="30">
        <v>667.4000244140625</v>
      </c>
      <c r="F12" s="30">
        <v>641.4666748046875</v>
      </c>
      <c r="G12" s="30">
        <v>616.5384521484375</v>
      </c>
      <c r="H12" s="30">
        <v>606.33331298828125</v>
      </c>
      <c r="I12" s="30">
        <v>608.69232177734375</v>
      </c>
      <c r="J12" s="30">
        <v>621.3636474609375</v>
      </c>
      <c r="K12" s="30">
        <v>613</v>
      </c>
      <c r="L12" s="30">
        <v>671.78570556640625</v>
      </c>
      <c r="M12" s="30">
        <v>640.78570556640625</v>
      </c>
      <c r="N12" s="30">
        <v>597.08331298828125</v>
      </c>
      <c r="O12" s="28">
        <f t="shared" si="0"/>
        <v>-0.16249770989752327</v>
      </c>
      <c r="P12" s="28">
        <f t="shared" si="1"/>
        <v>-3.9075885066454021E-2</v>
      </c>
      <c r="Q12" s="206"/>
    </row>
    <row r="13" spans="1:17" ht="18" customHeight="1">
      <c r="A13" s="174"/>
      <c r="B13" s="35" t="s">
        <v>185</v>
      </c>
      <c r="C13" s="30"/>
      <c r="D13" s="30">
        <v>334.06668090820313</v>
      </c>
      <c r="E13" s="30">
        <v>331.39999389648438</v>
      </c>
      <c r="F13" s="30">
        <v>317.66665649414063</v>
      </c>
      <c r="G13" s="30">
        <v>312.92306518554688</v>
      </c>
      <c r="H13" s="30">
        <v>319.5</v>
      </c>
      <c r="I13" s="30">
        <v>298.5384521484375</v>
      </c>
      <c r="J13" s="30">
        <v>308.54544067382813</v>
      </c>
      <c r="K13" s="30">
        <v>275.30767822265625</v>
      </c>
      <c r="L13" s="30">
        <v>311.14285278320313</v>
      </c>
      <c r="M13" s="30">
        <v>301.92855834960938</v>
      </c>
      <c r="N13" s="30">
        <v>291.66665649414063</v>
      </c>
      <c r="O13" s="28">
        <f t="shared" si="0"/>
        <v>-0.12692084196721623</v>
      </c>
      <c r="P13" s="28">
        <f t="shared" si="1"/>
        <v>-5.4704370749495294E-2</v>
      </c>
      <c r="Q13" s="206"/>
    </row>
    <row r="14" spans="1:17" ht="18" customHeight="1">
      <c r="A14" s="174"/>
      <c r="B14" s="35" t="s">
        <v>186</v>
      </c>
      <c r="C14" s="30"/>
      <c r="D14" s="30">
        <v>646.85791015625</v>
      </c>
      <c r="E14" s="30">
        <v>622.33782958984375</v>
      </c>
      <c r="F14" s="30">
        <v>597.0157470703125</v>
      </c>
      <c r="G14" s="30">
        <v>564.55743408203125</v>
      </c>
      <c r="H14" s="30">
        <v>574.57537841796875</v>
      </c>
      <c r="I14" s="30">
        <v>532.46343994140625</v>
      </c>
      <c r="J14" s="30">
        <v>546.98345947265625</v>
      </c>
      <c r="K14" s="30">
        <v>516.89190673828125</v>
      </c>
      <c r="L14" s="30">
        <v>567.5948486328125</v>
      </c>
      <c r="M14" s="30">
        <v>542.51556396484375</v>
      </c>
      <c r="N14" s="30">
        <v>517.591064453125</v>
      </c>
      <c r="O14" s="28">
        <f t="shared" si="0"/>
        <v>-0.19983808449045679</v>
      </c>
      <c r="P14" s="28">
        <f t="shared" si="1"/>
        <v>-5.3735436621553959E-2</v>
      </c>
      <c r="Q14" s="206"/>
    </row>
    <row r="15" spans="1:17" ht="18" customHeight="1">
      <c r="A15" s="174"/>
      <c r="B15" s="35" t="s">
        <v>187</v>
      </c>
      <c r="C15" s="31"/>
      <c r="D15" s="31">
        <v>463.47320556640625</v>
      </c>
      <c r="E15" s="31">
        <v>514.8311767578125</v>
      </c>
      <c r="F15" s="31">
        <v>592.86712646484375</v>
      </c>
      <c r="G15" s="31">
        <v>525.8212890625</v>
      </c>
      <c r="H15" s="31">
        <v>640.30810546875</v>
      </c>
      <c r="I15" s="31">
        <v>612.125</v>
      </c>
      <c r="J15" s="31">
        <v>574.1221923828125</v>
      </c>
      <c r="K15" s="31">
        <v>505.399658203125</v>
      </c>
      <c r="L15" s="31">
        <v>492.34658813476563</v>
      </c>
      <c r="M15" s="31">
        <v>452.1256103515625</v>
      </c>
      <c r="N15" s="31">
        <v>520.7164306640625</v>
      </c>
      <c r="O15" s="28">
        <f t="shared" si="0"/>
        <v>0.12350924370633215</v>
      </c>
      <c r="P15" s="28">
        <f t="shared" si="1"/>
        <v>-9.3021594405011551E-2</v>
      </c>
      <c r="Q15" s="206"/>
    </row>
    <row r="16" spans="1:17" ht="18" customHeight="1">
      <c r="A16" s="174"/>
      <c r="B16" s="35" t="s">
        <v>193</v>
      </c>
      <c r="C16" s="31"/>
      <c r="D16" s="31">
        <f ca="1">1547.794875*OFFSET(D$112,MATCH($N$1,$C$112:$C$113,0)-1,0)</f>
        <v>1547.794875</v>
      </c>
      <c r="E16" s="31">
        <f ca="1">1575.734875*OFFSET(E$112,MATCH($N$1,$C$112:$C$113,0)-1,0)</f>
        <v>1575.7348750000001</v>
      </c>
      <c r="F16" s="31">
        <f ca="1">1825.637*OFFSET(F$112,MATCH($N$1,$C$112:$C$113,0)-1,0)</f>
        <v>1825.6369999999999</v>
      </c>
      <c r="G16" s="31">
        <f ca="1">1530.399625*OFFSET(G$112,MATCH($N$1,$C$112:$C$113,0)-1,0)</f>
        <v>1530.399625</v>
      </c>
      <c r="H16" s="31">
        <f ca="1">2024.8375*OFFSET(H$112,MATCH($N$1,$C$112:$C$113,0)-1,0)</f>
        <v>2024.8375000000001</v>
      </c>
      <c r="I16" s="31">
        <f ca="1">1862.9205*OFFSET(I$112,MATCH($N$1,$C$112:$C$113,0)-1,0)</f>
        <v>1862.9204999999999</v>
      </c>
      <c r="J16" s="31">
        <f ca="1">2055.505375*OFFSET(J$112,MATCH($N$1,$C$112:$C$113,0)-1,0)</f>
        <v>2055.5053750000002</v>
      </c>
      <c r="K16" s="31">
        <f ca="1">1692.0305*OFFSET(K$112,MATCH($N$1,$C$112:$C$113,0)-1,0)</f>
        <v>1692.0305000000001</v>
      </c>
      <c r="L16" s="31">
        <f ca="1">1691.57025*OFFSET(L$112,MATCH($N$1,$C$112:$C$113,0)-1,0)</f>
        <v>1691.57025</v>
      </c>
      <c r="M16" s="31">
        <f ca="1">1319.515625*OFFSET(M$112,MATCH($N$1,$C$112:$C$113,0)-1,0)</f>
        <v>1319.515625</v>
      </c>
      <c r="N16" s="31">
        <v>1278.6265000000001</v>
      </c>
      <c r="O16" s="28">
        <f t="shared" ca="1" si="0"/>
        <v>-0.17390442322016345</v>
      </c>
      <c r="P16" s="28">
        <f t="shared" ca="1" si="1"/>
        <v>-0.37795030090835935</v>
      </c>
      <c r="Q16" s="206"/>
    </row>
    <row r="17" spans="1:16" ht="18" customHeight="1">
      <c r="A17" s="174"/>
      <c r="B17" s="35" t="s">
        <v>189</v>
      </c>
      <c r="C17" s="30"/>
      <c r="D17" s="30">
        <v>263.86666870117188</v>
      </c>
      <c r="E17" s="30">
        <v>266.4666748046875</v>
      </c>
      <c r="F17" s="30">
        <v>272.13333129882813</v>
      </c>
      <c r="G17" s="30">
        <v>254.30769348144531</v>
      </c>
      <c r="H17" s="30">
        <v>287.91665649414063</v>
      </c>
      <c r="I17" s="30">
        <v>276.84616088867188</v>
      </c>
      <c r="J17" s="30">
        <v>288.90908813476563</v>
      </c>
      <c r="K17" s="30">
        <v>253.30769348144531</v>
      </c>
      <c r="L17" s="30">
        <v>232.07142639160156</v>
      </c>
      <c r="M17" s="30">
        <v>224</v>
      </c>
      <c r="N17" s="30">
        <v>274.41665649414063</v>
      </c>
      <c r="O17" s="28">
        <f t="shared" si="0"/>
        <v>3.9982267729754745E-2</v>
      </c>
      <c r="P17" s="28">
        <f t="shared" si="1"/>
        <v>-5.0162602132698596E-2</v>
      </c>
    </row>
    <row r="18" spans="1:16" ht="18" customHeight="1">
      <c r="A18" s="174"/>
      <c r="B18" s="35" t="s">
        <v>194</v>
      </c>
      <c r="C18" s="30"/>
      <c r="D18" s="30">
        <v>16.866666793823242</v>
      </c>
      <c r="E18" s="30">
        <v>18.866666793823242</v>
      </c>
      <c r="F18" s="30">
        <v>16.733333587646484</v>
      </c>
      <c r="G18" s="30">
        <v>18.230770111083984</v>
      </c>
      <c r="H18" s="30">
        <v>18.25</v>
      </c>
      <c r="I18" s="30">
        <v>21.538461685180664</v>
      </c>
      <c r="J18" s="30">
        <v>22</v>
      </c>
      <c r="K18" s="30">
        <v>25.153846740722656</v>
      </c>
      <c r="L18" s="30">
        <v>23.214284896850586</v>
      </c>
      <c r="M18" s="30">
        <v>21.285715103149414</v>
      </c>
      <c r="N18" s="30">
        <v>21.916666030883789</v>
      </c>
      <c r="O18" s="28">
        <f t="shared" si="0"/>
        <v>0.29940706713373338</v>
      </c>
      <c r="P18" s="28">
        <f t="shared" si="1"/>
        <v>-3.7879076871004972E-3</v>
      </c>
    </row>
    <row r="19" spans="1:16" ht="18" customHeight="1">
      <c r="A19" s="174"/>
      <c r="B19" s="35" t="s">
        <v>195</v>
      </c>
      <c r="C19" s="36"/>
      <c r="D19" s="36">
        <v>1.7564674615859985</v>
      </c>
      <c r="E19" s="36">
        <v>1.9320658445358276</v>
      </c>
      <c r="F19" s="36">
        <v>2.1785905361175537</v>
      </c>
      <c r="G19" s="36">
        <v>2.0676577091217041</v>
      </c>
      <c r="H19" s="36">
        <v>2.223935604095459</v>
      </c>
      <c r="I19" s="36">
        <v>2.2110655307769775</v>
      </c>
      <c r="J19" s="36">
        <v>1.9872070550918579</v>
      </c>
      <c r="K19" s="36">
        <v>1.9952006340026855</v>
      </c>
      <c r="L19" s="36">
        <v>2.121530294418335</v>
      </c>
      <c r="M19" s="36">
        <v>2.0184178352355957</v>
      </c>
      <c r="N19" s="36">
        <v>1.897539496421814</v>
      </c>
      <c r="O19" s="28">
        <f t="shared" si="0"/>
        <v>8.0315768963026932E-2</v>
      </c>
      <c r="P19" s="28">
        <f t="shared" si="1"/>
        <v>-4.512240354636779E-2</v>
      </c>
    </row>
    <row r="20" spans="1:16" ht="18" customHeight="1">
      <c r="A20" s="175"/>
      <c r="B20" s="37" t="s">
        <v>196</v>
      </c>
      <c r="C20" s="38"/>
      <c r="D20" s="38">
        <f ca="1">3340*OFFSET(D$112,MATCH($N$1,$C$112:$C$113,0)-1,0)</f>
        <v>3340</v>
      </c>
      <c r="E20" s="38">
        <f ca="1">3061*OFFSET(E$112,MATCH($N$1,$C$112:$C$113,0)-1,0)</f>
        <v>3061</v>
      </c>
      <c r="F20" s="38">
        <f ca="1">3079*OFFSET(F$112,MATCH($N$1,$C$112:$C$113,0)-1,0)</f>
        <v>3079</v>
      </c>
      <c r="G20" s="38">
        <f ca="1">2910*OFFSET(G$112,MATCH($N$1,$C$112:$C$113,0)-1,0)</f>
        <v>2910</v>
      </c>
      <c r="H20" s="38">
        <f ca="1">3162*OFFSET(H$112,MATCH($N$1,$C$112:$C$113,0)-1,0)</f>
        <v>3162</v>
      </c>
      <c r="I20" s="38">
        <f ca="1">3043*OFFSET(I$112,MATCH($N$1,$C$112:$C$113,0)-1,0)</f>
        <v>3043</v>
      </c>
      <c r="J20" s="38">
        <f ca="1">3580*OFFSET(J$112,MATCH($N$1,$C$112:$C$113,0)-1,0)</f>
        <v>3580</v>
      </c>
      <c r="K20" s="38">
        <f ca="1">3348*OFFSET(K$112,MATCH($N$1,$C$112:$C$113,0)-1,0)</f>
        <v>3348</v>
      </c>
      <c r="L20" s="38">
        <f ca="1">3436*OFFSET(L$112,MATCH($N$1,$C$112:$C$113,0)-1,0)</f>
        <v>3436</v>
      </c>
      <c r="M20" s="38">
        <f ca="1">2918*OFFSET(M$112,MATCH($N$1,$C$112:$C$113,0)-1,0)</f>
        <v>2918</v>
      </c>
      <c r="N20" s="38">
        <v>2456</v>
      </c>
      <c r="O20" s="32">
        <f t="shared" ca="1" si="0"/>
        <v>-0.26467065868263473</v>
      </c>
      <c r="P20" s="32">
        <f t="shared" ca="1" si="1"/>
        <v>-0.31396648044692738</v>
      </c>
    </row>
    <row r="21" spans="1:16" ht="18" customHeight="1">
      <c r="A21" s="176" t="s">
        <v>197</v>
      </c>
      <c r="B21" s="33" t="s">
        <v>198</v>
      </c>
      <c r="C21" s="39"/>
      <c r="D21" s="39">
        <v>2.5426144545882123</v>
      </c>
      <c r="E21" s="39">
        <v>2.9151586121683546</v>
      </c>
      <c r="F21" s="39">
        <v>3.4286569454809737</v>
      </c>
      <c r="G21" s="39">
        <v>3.5406512618856607</v>
      </c>
      <c r="H21" s="39">
        <v>3.6766564581479142</v>
      </c>
      <c r="I21" s="39">
        <v>3.5715711831750334</v>
      </c>
      <c r="J21" s="39">
        <v>3.191630936465613</v>
      </c>
      <c r="K21" s="39">
        <v>3.2423602281530273</v>
      </c>
      <c r="L21" s="39">
        <v>3.2534662370544849</v>
      </c>
      <c r="M21" s="39">
        <v>3.287018245050878</v>
      </c>
      <c r="N21" s="39">
        <v>3.1362995361500929</v>
      </c>
      <c r="O21" s="28">
        <f t="shared" si="0"/>
        <v>0.2334939457653758</v>
      </c>
      <c r="P21" s="28">
        <f t="shared" si="1"/>
        <v>-1.7336403054418831E-2</v>
      </c>
    </row>
    <row r="22" spans="1:16" ht="18" customHeight="1">
      <c r="A22" s="176"/>
      <c r="B22" s="35" t="s">
        <v>199</v>
      </c>
      <c r="C22" s="36"/>
      <c r="D22" s="36">
        <f ca="1">8.49120418321289*OFFSET(D$112,MATCH($N$1,$C$112:$C$113,0)-1,0)</f>
        <v>8.4912041832128899</v>
      </c>
      <c r="E22" s="36">
        <f ca="1">8.92237552565929*OFFSET(E$112,MATCH($N$1,$C$112:$C$113,0)-1,0)</f>
        <v>8.9223755256592892</v>
      </c>
      <c r="F22" s="36">
        <f ca="1">10.5579862680213*OFFSET(F$112,MATCH($N$1,$C$112:$C$113,0)-1,0)</f>
        <v>10.557986268021301</v>
      </c>
      <c r="G22" s="36">
        <f ca="1">10.305043702408*OFFSET(G$112,MATCH($N$1,$C$112:$C$113,0)-1,0)</f>
        <v>10.305043702408</v>
      </c>
      <c r="H22" s="36">
        <f ca="1">11.6266400620137*OFFSET(H$112,MATCH($N$1,$C$112:$C$113,0)-1,0)</f>
        <v>11.626640062013699</v>
      </c>
      <c r="I22" s="36">
        <f ca="1">10.869598814533*OFFSET(I$112,MATCH($N$1,$C$112:$C$113,0)-1,0)</f>
        <v>10.869598814532999</v>
      </c>
      <c r="J22" s="36">
        <f ca="1">11.4268610967524*OFFSET(J$112,MATCH($N$1,$C$112:$C$113,0)-1,0)</f>
        <v>11.4268610967524</v>
      </c>
      <c r="K22" s="36">
        <f ca="1">10.8551169534368*OFFSET(K$112,MATCH($N$1,$C$112:$C$113,0)-1,0)</f>
        <v>10.8551169534368</v>
      </c>
      <c r="L22" s="36">
        <f ca="1">11.1780335816492*OFFSET(L$112,MATCH($N$1,$C$112:$C$113,0)-1,0)</f>
        <v>11.178033581649199</v>
      </c>
      <c r="M22" s="36">
        <f ca="1">9.59306846305864*OFFSET(M$112,MATCH($N$1,$C$112:$C$113,0)-1,0)</f>
        <v>9.5930684630586391</v>
      </c>
      <c r="N22" s="36">
        <v>7.7012275063898414</v>
      </c>
      <c r="O22" s="28">
        <f t="shared" ca="1" si="0"/>
        <v>-9.3034705063956932E-2</v>
      </c>
      <c r="P22" s="28">
        <f t="shared" ca="1" si="1"/>
        <v>-0.32604173261731623</v>
      </c>
    </row>
    <row r="23" spans="1:16" ht="18" customHeight="1">
      <c r="A23" s="176"/>
      <c r="B23" s="35" t="s">
        <v>154</v>
      </c>
      <c r="C23" s="36"/>
      <c r="D23" s="36">
        <f ca="1">6.33041319412806*OFFSET(D$112,MATCH($N$1,$C$112:$C$113,0)-1,0)</f>
        <v>6.3304131941280604</v>
      </c>
      <c r="E23" s="36">
        <f ca="1">7.04351347931041*OFFSET(E$112,MATCH($N$1,$C$112:$C$113,0)-1,0)</f>
        <v>7.0435134793104099</v>
      </c>
      <c r="F23" s="36">
        <f ca="1">10.6720701187684*OFFSET(F$112,MATCH($N$1,$C$112:$C$113,0)-1,0)</f>
        <v>10.672070118768399</v>
      </c>
      <c r="G23" s="36">
        <f ca="1">10.4331316431474*OFFSET(G$112,MATCH($N$1,$C$112:$C$113,0)-1,0)</f>
        <v>10.4331316431474</v>
      </c>
      <c r="H23" s="36">
        <f ca="1">11.5216553456332*OFFSET(H$112,MATCH($N$1,$C$112:$C$113,0)-1,0)</f>
        <v>11.521655345633199</v>
      </c>
      <c r="I23" s="36">
        <f ca="1">10.2291613143849*OFFSET(I$112,MATCH($N$1,$C$112:$C$113,0)-1,0)</f>
        <v>10.2291613143849</v>
      </c>
      <c r="J23" s="36">
        <f ca="1">7.66292251814172*OFFSET(J$112,MATCH($N$1,$C$112:$C$113,0)-1,0)</f>
        <v>7.6629225181417198</v>
      </c>
      <c r="K23" s="36">
        <f ca="1">10.2278361524172*OFFSET(K$112,MATCH($N$1,$C$112:$C$113,0)-1,0)</f>
        <v>10.227836152417201</v>
      </c>
      <c r="L23" s="36">
        <f ca="1">10.8178737929539*OFFSET(L$112,MATCH($N$1,$C$112:$C$113,0)-1,0)</f>
        <v>10.8178737929539</v>
      </c>
      <c r="M23" s="36">
        <f ca="1">8.95810269499974*OFFSET(M$112,MATCH($N$1,$C$112:$C$113,0)-1,0)</f>
        <v>8.9581026949997398</v>
      </c>
      <c r="N23" s="36">
        <v>7.4772151014069363</v>
      </c>
      <c r="O23" s="28">
        <f t="shared" ca="1" si="0"/>
        <v>0.18115751248948836</v>
      </c>
      <c r="P23" s="28">
        <f t="shared" ca="1" si="1"/>
        <v>-2.4234541885961542E-2</v>
      </c>
    </row>
    <row r="24" spans="1:16" ht="18" customHeight="1">
      <c r="A24" s="176"/>
      <c r="B24" s="35" t="s">
        <v>155</v>
      </c>
      <c r="C24" s="36"/>
      <c r="D24" s="36">
        <f ca="1">2.18478137043219*OFFSET(D$112,MATCH($N$1,$C$112:$C$113,0)-1,0)</f>
        <v>2.1847813704321899</v>
      </c>
      <c r="E24" s="36">
        <f ca="1">1.9040706251801*OFFSET(E$112,MATCH($N$1,$C$112:$C$113,0)-1,0)</f>
        <v>1.9040706251801001</v>
      </c>
      <c r="F24" s="36">
        <f ca="1">-0.0842541465170305*OFFSET(F$112,MATCH($N$1,$C$112:$C$113,0)-1,0)</f>
        <v>-8.4254146517030504E-2</v>
      </c>
      <c r="G24" s="36">
        <f ca="1">-0.0989728816234202*OFFSET(G$112,MATCH($N$1,$C$112:$C$113,0)-1,0)</f>
        <v>-9.8972881623420203E-2</v>
      </c>
      <c r="H24" s="36">
        <f ca="1">0.250315810628463*OFFSET(H$112,MATCH($N$1,$C$112:$C$113,0)-1,0)</f>
        <v>0.25031581062846298</v>
      </c>
      <c r="I24" s="36">
        <f ca="1">0.740182737612594*OFFSET(I$112,MATCH($N$1,$C$112:$C$113,0)-1,0)</f>
        <v>0.74018273761259401</v>
      </c>
      <c r="J24" s="36">
        <f ca="1">3.79622313139405*OFFSET(J$112,MATCH($N$1,$C$112:$C$113,0)-1,0)</f>
        <v>3.7962231313940502</v>
      </c>
      <c r="K24" s="36">
        <f ca="1">0.808134344486573*OFFSET(K$112,MATCH($N$1,$C$112:$C$113,0)-1,0)</f>
        <v>0.80813434448657295</v>
      </c>
      <c r="L24" s="36">
        <f ca="1">0.391741328519622*OFFSET(L$112,MATCH($N$1,$C$112:$C$113,0)-1,0)</f>
        <v>0.39174132851962201</v>
      </c>
      <c r="M24" s="36">
        <f ca="1">0.653034768213613*OFFSET(M$112,MATCH($N$1,$C$112:$C$113,0)-1,0)</f>
        <v>0.65303476821361295</v>
      </c>
      <c r="N24" s="36">
        <v>0.28194426498169417</v>
      </c>
      <c r="O24" s="28">
        <f t="shared" ca="1" si="0"/>
        <v>-0.87095081054910295</v>
      </c>
      <c r="P24" s="28">
        <f t="shared" ca="1" si="1"/>
        <v>-0.92573032321254556</v>
      </c>
    </row>
    <row r="25" spans="1:16" ht="18" customHeight="1">
      <c r="A25" s="176"/>
      <c r="B25" s="35" t="s">
        <v>200</v>
      </c>
      <c r="C25" s="31"/>
      <c r="D25" s="31">
        <f ca="1">78.12*OFFSET(D$112,MATCH($N$1,$C$112:$C$113,0)-1,0)</f>
        <v>78.12</v>
      </c>
      <c r="E25" s="31">
        <f ca="1">79.07*OFFSET(E$112,MATCH($N$1,$C$112:$C$113,0)-1,0)</f>
        <v>79.069999999999993</v>
      </c>
      <c r="F25" s="31">
        <f ca="1">91.3*OFFSET(F$112,MATCH($N$1,$C$112:$C$113,0)-1,0)</f>
        <v>91.3</v>
      </c>
      <c r="G25" s="31">
        <f ca="1">115.28*OFFSET(G$112,MATCH($N$1,$C$112:$C$113,0)-1,0)</f>
        <v>115.28</v>
      </c>
      <c r="H25" s="31">
        <f ca="1">269.03*OFFSET(H$112,MATCH($N$1,$C$112:$C$113,0)-1,0)</f>
        <v>269.02999999999997</v>
      </c>
      <c r="I25" s="31">
        <f ca="1">137.77*OFFSET(I$112,MATCH($N$1,$C$112:$C$113,0)-1,0)</f>
        <v>137.77000000000001</v>
      </c>
      <c r="J25" s="31">
        <f ca="1">138.71*OFFSET(J$112,MATCH($N$1,$C$112:$C$113,0)-1,0)</f>
        <v>138.71</v>
      </c>
      <c r="K25" s="31">
        <f ca="1">144.08*OFFSET(K$112,MATCH($N$1,$C$112:$C$113,0)-1,0)</f>
        <v>144.08000000000001</v>
      </c>
      <c r="L25" s="31">
        <f ca="1">146.83*OFFSET(L$112,MATCH($N$1,$C$112:$C$113,0)-1,0)</f>
        <v>146.83000000000001</v>
      </c>
      <c r="M25" s="31">
        <f ca="1">124.94*OFFSET(M$112,MATCH($N$1,$C$112:$C$113,0)-1,0)</f>
        <v>124.94</v>
      </c>
      <c r="N25" s="31">
        <v>101.9</v>
      </c>
      <c r="O25" s="28">
        <f t="shared" ca="1" si="0"/>
        <v>0.30440348182283666</v>
      </c>
      <c r="P25" s="28">
        <f t="shared" ca="1" si="1"/>
        <v>-0.2653738014562757</v>
      </c>
    </row>
    <row r="26" spans="1:16" ht="18" customHeight="1">
      <c r="A26" s="177"/>
      <c r="B26" s="35" t="s">
        <v>201</v>
      </c>
      <c r="C26" s="31"/>
      <c r="D26" s="31">
        <f ca="1">20.1*OFFSET(D$112,MATCH($N$1,$C$112:$C$113,0)-1,0)</f>
        <v>20.100000000000001</v>
      </c>
      <c r="E26" s="31">
        <f ca="1">16.88*OFFSET(E$112,MATCH($N$1,$C$112:$C$113,0)-1,0)</f>
        <v>16.88</v>
      </c>
      <c r="F26" s="31">
        <f ca="1">-0.73*OFFSET(F$112,MATCH($N$1,$C$112:$C$113,0)-1,0)</f>
        <v>-0.73</v>
      </c>
      <c r="G26" s="31">
        <f ca="1">-1.11*OFFSET(G$112,MATCH($N$1,$C$112:$C$113,0)-1,0)</f>
        <v>-1.1100000000000001</v>
      </c>
      <c r="H26" s="31">
        <f ca="1">5.79*OFFSET(H$112,MATCH($N$1,$C$112:$C$113,0)-1,0)</f>
        <v>5.79</v>
      </c>
      <c r="I26" s="31">
        <f ca="1">9.38*OFFSET(I$112,MATCH($N$1,$C$112:$C$113,0)-1,0)</f>
        <v>9.3800000000000008</v>
      </c>
      <c r="J26" s="31">
        <f ca="1">46.08*OFFSET(J$112,MATCH($N$1,$C$112:$C$113,0)-1,0)</f>
        <v>46.08</v>
      </c>
      <c r="K26" s="31">
        <f ca="1">10.73*OFFSET(K$112,MATCH($N$1,$C$112:$C$113,0)-1,0)</f>
        <v>10.73</v>
      </c>
      <c r="L26" s="31">
        <f ca="1">5.15*OFFSET(L$112,MATCH($N$1,$C$112:$C$113,0)-1,0)</f>
        <v>5.15</v>
      </c>
      <c r="M26" s="31">
        <f ca="1">8.5*OFFSET(M$112,MATCH($N$1,$C$112:$C$113,0)-1,0)</f>
        <v>8.5</v>
      </c>
      <c r="N26" s="31">
        <v>3.73</v>
      </c>
      <c r="O26" s="32">
        <f t="shared" ca="1" si="0"/>
        <v>-0.8144278606965174</v>
      </c>
      <c r="P26" s="32">
        <f t="shared" ca="1" si="1"/>
        <v>-0.91905381944444453</v>
      </c>
    </row>
    <row r="27" spans="1:16" ht="18" customHeight="1">
      <c r="A27" s="166" t="s">
        <v>202</v>
      </c>
      <c r="B27" s="33" t="s">
        <v>193</v>
      </c>
      <c r="C27" s="34"/>
      <c r="D27" s="34">
        <f ca="1">1547.8*OFFSET(D$112,MATCH($N$1,$C$112:$C$113,0)-1,0)</f>
        <v>1547.8</v>
      </c>
      <c r="E27" s="34">
        <f ca="1">1575.7*OFFSET(E$112,MATCH($N$1,$C$112:$C$113,0)-1,0)</f>
        <v>1575.7</v>
      </c>
      <c r="F27" s="34">
        <f ca="1">1825.6*OFFSET(F$112,MATCH($N$1,$C$112:$C$113,0)-1,0)</f>
        <v>1825.6</v>
      </c>
      <c r="G27" s="34">
        <f ca="1">1530.4*OFFSET(G$112,MATCH($N$1,$C$112:$C$113,0)-1,0)</f>
        <v>1530.4</v>
      </c>
      <c r="H27" s="34">
        <f ca="1">2024.8*OFFSET(H$112,MATCH($N$1,$C$112:$C$113,0)-1,0)</f>
        <v>2024.8</v>
      </c>
      <c r="I27" s="34">
        <f ca="1">1862.9*OFFSET(I$112,MATCH($N$1,$C$112:$C$113,0)-1,0)</f>
        <v>1862.9</v>
      </c>
      <c r="J27" s="34">
        <f ca="1">2055.5*OFFSET(J$112,MATCH($N$1,$C$112:$C$113,0)-1,0)</f>
        <v>2055.5</v>
      </c>
      <c r="K27" s="34">
        <f ca="1">1692*OFFSET(K$112,MATCH($N$1,$C$112:$C$113,0)-1,0)</f>
        <v>1692</v>
      </c>
      <c r="L27" s="34">
        <f ca="1">1691.6*OFFSET(L$112,MATCH($N$1,$C$112:$C$113,0)-1,0)</f>
        <v>1691.6</v>
      </c>
      <c r="M27" s="34">
        <f ca="1">1319.5*OFFSET(M$112,MATCH($N$1,$C$112:$C$113,0)-1,0)</f>
        <v>1319.5</v>
      </c>
      <c r="N27" s="34">
        <v>1278.6000000000001</v>
      </c>
      <c r="O27" s="28">
        <f t="shared" ca="1" si="0"/>
        <v>-0.17392427962269016</v>
      </c>
      <c r="P27" s="28">
        <f t="shared" ca="1" si="1"/>
        <v>-0.37796156652882501</v>
      </c>
    </row>
    <row r="28" spans="1:16" ht="18" customHeight="1">
      <c r="A28" s="178"/>
      <c r="B28" s="35" t="s">
        <v>203</v>
      </c>
      <c r="C28" s="31"/>
      <c r="D28" s="31">
        <f ca="1">4.4*OFFSET(D$112,MATCH($N$1,$C$112:$C$113,0)-1,0)</f>
        <v>4.4000000000000004</v>
      </c>
      <c r="E28" s="31">
        <f ca="1">4.5*OFFSET(E$112,MATCH($N$1,$C$112:$C$113,0)-1,0)</f>
        <v>4.5</v>
      </c>
      <c r="F28" s="31">
        <f ca="1">5.2*OFFSET(F$112,MATCH($N$1,$C$112:$C$113,0)-1,0)</f>
        <v>5.2</v>
      </c>
      <c r="G28" s="31">
        <f ca="1">4.3*OFFSET(G$112,MATCH($N$1,$C$112:$C$113,0)-1,0)</f>
        <v>4.3</v>
      </c>
      <c r="H28" s="31">
        <f ca="1">25.3*OFFSET(H$112,MATCH($N$1,$C$112:$C$113,0)-1,0)</f>
        <v>25.3</v>
      </c>
      <c r="I28" s="31">
        <f ca="1">17.1*OFFSET(I$112,MATCH($N$1,$C$112:$C$113,0)-1,0)</f>
        <v>17.100000000000001</v>
      </c>
      <c r="J28" s="31">
        <f ca="1">5.8*OFFSET(J$112,MATCH($N$1,$C$112:$C$113,0)-1,0)</f>
        <v>5.8</v>
      </c>
      <c r="K28" s="31">
        <f ca="1">28.2*OFFSET(K$112,MATCH($N$1,$C$112:$C$113,0)-1,0)</f>
        <v>28.2</v>
      </c>
      <c r="L28" s="31">
        <f ca="1">4.8*OFFSET(L$112,MATCH($N$1,$C$112:$C$113,0)-1,0)</f>
        <v>4.8</v>
      </c>
      <c r="M28" s="31">
        <f ca="1">2.5*OFFSET(M$112,MATCH($N$1,$C$112:$C$113,0)-1,0)</f>
        <v>2.5</v>
      </c>
      <c r="N28" s="31">
        <v>9.6</v>
      </c>
      <c r="O28" s="28">
        <f t="shared" ca="1" si="0"/>
        <v>1.1818181818181817</v>
      </c>
      <c r="P28" s="28">
        <f t="shared" ca="1" si="1"/>
        <v>0.65517241379310343</v>
      </c>
    </row>
    <row r="29" spans="1:16" ht="18" customHeight="1">
      <c r="A29" s="178"/>
      <c r="B29" s="40" t="s">
        <v>204</v>
      </c>
      <c r="C29" s="41"/>
      <c r="D29" s="41">
        <f ca="1">1552.2*OFFSET(D$112,MATCH($N$1,$C$112:$C$113,0)-1,0)</f>
        <v>1552.2</v>
      </c>
      <c r="E29" s="41">
        <f ca="1">1580.2*OFFSET(E$112,MATCH($N$1,$C$112:$C$113,0)-1,0)</f>
        <v>1580.2</v>
      </c>
      <c r="F29" s="41">
        <f ca="1">1830.8*OFFSET(F$112,MATCH($N$1,$C$112:$C$113,0)-1,0)</f>
        <v>1830.8</v>
      </c>
      <c r="G29" s="41">
        <f ca="1">1534.7*OFFSET(G$112,MATCH($N$1,$C$112:$C$113,0)-1,0)</f>
        <v>1534.7</v>
      </c>
      <c r="H29" s="41">
        <f ca="1">2050.1*OFFSET(H$112,MATCH($N$1,$C$112:$C$113,0)-1,0)</f>
        <v>2050.1</v>
      </c>
      <c r="I29" s="41">
        <f ca="1">1880*OFFSET(I$112,MATCH($N$1,$C$112:$C$113,0)-1,0)</f>
        <v>1880</v>
      </c>
      <c r="J29" s="41">
        <f ca="1">2061.3*OFFSET(J$112,MATCH($N$1,$C$112:$C$113,0)-1,0)</f>
        <v>2061.3000000000002</v>
      </c>
      <c r="K29" s="41">
        <f ca="1">1720.2*OFFSET(K$112,MATCH($N$1,$C$112:$C$113,0)-1,0)</f>
        <v>1720.2</v>
      </c>
      <c r="L29" s="41">
        <f ca="1">1696.3*OFFSET(L$112,MATCH($N$1,$C$112:$C$113,0)-1,0)</f>
        <v>1696.3</v>
      </c>
      <c r="M29" s="41">
        <f ca="1">1322*OFFSET(M$112,MATCH($N$1,$C$112:$C$113,0)-1,0)</f>
        <v>1322</v>
      </c>
      <c r="N29" s="41">
        <v>1288.2</v>
      </c>
      <c r="O29" s="28">
        <f t="shared" ca="1" si="0"/>
        <v>-0.17008117510630072</v>
      </c>
      <c r="P29" s="28">
        <f t="shared" ca="1" si="1"/>
        <v>-0.37505457720855773</v>
      </c>
    </row>
    <row r="30" spans="1:16" ht="18" customHeight="1">
      <c r="A30" s="178"/>
      <c r="B30" s="35" t="s">
        <v>205</v>
      </c>
      <c r="C30" s="31"/>
      <c r="D30" s="31">
        <f ca="1">369.6*OFFSET(D$112,MATCH($N$1,$C$112:$C$113,0)-1,0)</f>
        <v>369.6</v>
      </c>
      <c r="E30" s="31">
        <f ca="1">477.2*OFFSET(E$112,MATCH($N$1,$C$112:$C$113,0)-1,0)</f>
        <v>477.2</v>
      </c>
      <c r="F30" s="31">
        <f ca="1">477.2*OFFSET(F$112,MATCH($N$1,$C$112:$C$113,0)-1,0)</f>
        <v>477.2</v>
      </c>
      <c r="G30" s="31">
        <f ca="1">404.8*OFFSET(G$112,MATCH($N$1,$C$112:$C$113,0)-1,0)</f>
        <v>404.8</v>
      </c>
      <c r="H30" s="31">
        <f ca="1">426.3*OFFSET(H$112,MATCH($N$1,$C$112:$C$113,0)-1,0)</f>
        <v>426.3</v>
      </c>
      <c r="I30" s="31">
        <f ca="1">274.2*OFFSET(I$112,MATCH($N$1,$C$112:$C$113,0)-1,0)</f>
        <v>274.2</v>
      </c>
      <c r="J30" s="31">
        <f ca="1">266.3*OFFSET(J$112,MATCH($N$1,$C$112:$C$113,0)-1,0)</f>
        <v>266.3</v>
      </c>
      <c r="K30" s="31">
        <f ca="1">272.3*OFFSET(K$112,MATCH($N$1,$C$112:$C$113,0)-1,0)</f>
        <v>272.3</v>
      </c>
      <c r="L30" s="31">
        <f ca="1">304.4*OFFSET(L$112,MATCH($N$1,$C$112:$C$113,0)-1,0)</f>
        <v>304.39999999999998</v>
      </c>
      <c r="M30" s="31">
        <f ca="1">275.8*OFFSET(M$112,MATCH($N$1,$C$112:$C$113,0)-1,0)</f>
        <v>275.8</v>
      </c>
      <c r="N30" s="31">
        <v>247.1</v>
      </c>
      <c r="O30" s="28">
        <f t="shared" ca="1" si="0"/>
        <v>-0.33143939393939398</v>
      </c>
      <c r="P30" s="28">
        <f t="shared" ca="1" si="1"/>
        <v>-7.2099136312429646E-2</v>
      </c>
    </row>
    <row r="31" spans="1:16" ht="18" customHeight="1">
      <c r="A31" s="178"/>
      <c r="B31" s="35" t="s">
        <v>206</v>
      </c>
      <c r="C31" s="31"/>
      <c r="D31" s="31">
        <f ca="1">196.3*OFFSET(D$112,MATCH($N$1,$C$112:$C$113,0)-1,0)</f>
        <v>196.3</v>
      </c>
      <c r="E31" s="31">
        <f ca="1">168.1*OFFSET(E$112,MATCH($N$1,$C$112:$C$113,0)-1,0)</f>
        <v>168.1</v>
      </c>
      <c r="F31" s="31">
        <f ca="1">327.9*OFFSET(F$112,MATCH($N$1,$C$112:$C$113,0)-1,0)</f>
        <v>327.9</v>
      </c>
      <c r="G31" s="31">
        <f ca="1">272.7*OFFSET(G$112,MATCH($N$1,$C$112:$C$113,0)-1,0)</f>
        <v>272.7</v>
      </c>
      <c r="H31" s="31">
        <f ca="1">428.8*OFFSET(H$112,MATCH($N$1,$C$112:$C$113,0)-1,0)</f>
        <v>428.8</v>
      </c>
      <c r="I31" s="31">
        <f ca="1">437*OFFSET(I$112,MATCH($N$1,$C$112:$C$113,0)-1,0)</f>
        <v>437</v>
      </c>
      <c r="J31" s="31">
        <f ca="1">331.4*OFFSET(J$112,MATCH($N$1,$C$112:$C$113,0)-1,0)</f>
        <v>331.4</v>
      </c>
      <c r="K31" s="31">
        <f ca="1">385.2*OFFSET(K$112,MATCH($N$1,$C$112:$C$113,0)-1,0)</f>
        <v>385.2</v>
      </c>
      <c r="L31" s="31">
        <f ca="1">368.8*OFFSET(L$112,MATCH($N$1,$C$112:$C$113,0)-1,0)</f>
        <v>368.8</v>
      </c>
      <c r="M31" s="31">
        <f ca="1">326.9*OFFSET(M$112,MATCH($N$1,$C$112:$C$113,0)-1,0)</f>
        <v>326.89999999999998</v>
      </c>
      <c r="N31" s="31">
        <v>270.7</v>
      </c>
      <c r="O31" s="28">
        <f t="shared" ca="1" si="0"/>
        <v>0.37901171676006101</v>
      </c>
      <c r="P31" s="28">
        <f t="shared" ca="1" si="1"/>
        <v>-0.18316234158117076</v>
      </c>
    </row>
    <row r="32" spans="1:16" ht="18" customHeight="1">
      <c r="A32" s="178"/>
      <c r="B32" s="35" t="s">
        <v>207</v>
      </c>
      <c r="C32" s="31"/>
      <c r="D32" s="31">
        <f ca="1">369.2*OFFSET(D$112,MATCH($N$1,$C$112:$C$113,0)-1,0)</f>
        <v>369.2</v>
      </c>
      <c r="E32" s="31">
        <f ca="1">375.9*OFFSET(E$112,MATCH($N$1,$C$112:$C$113,0)-1,0)</f>
        <v>375.9</v>
      </c>
      <c r="F32" s="31">
        <f ca="1">653.3*OFFSET(F$112,MATCH($N$1,$C$112:$C$113,0)-1,0)</f>
        <v>653.29999999999995</v>
      </c>
      <c r="G32" s="31">
        <f ca="1">547.6*OFFSET(G$112,MATCH($N$1,$C$112:$C$113,0)-1,0)</f>
        <v>547.6</v>
      </c>
      <c r="H32" s="31">
        <f ca="1">829.7*OFFSET(H$112,MATCH($N$1,$C$112:$C$113,0)-1,0)</f>
        <v>829.7</v>
      </c>
      <c r="I32" s="31">
        <f ca="1">755.8*OFFSET(I$112,MATCH($N$1,$C$112:$C$113,0)-1,0)</f>
        <v>755.8</v>
      </c>
      <c r="J32" s="31">
        <f ca="1">490.4*OFFSET(J$112,MATCH($N$1,$C$112:$C$113,0)-1,0)</f>
        <v>490.4</v>
      </c>
      <c r="K32" s="31">
        <f ca="1">514.6*OFFSET(K$112,MATCH($N$1,$C$112:$C$113,0)-1,0)</f>
        <v>514.6</v>
      </c>
      <c r="L32" s="31">
        <f ca="1">605.3*OFFSET(L$112,MATCH($N$1,$C$112:$C$113,0)-1,0)</f>
        <v>605.29999999999995</v>
      </c>
      <c r="M32" s="31">
        <f ca="1">391.8*OFFSET(M$112,MATCH($N$1,$C$112:$C$113,0)-1,0)</f>
        <v>391.8</v>
      </c>
      <c r="N32" s="31">
        <v>457.6</v>
      </c>
      <c r="O32" s="28">
        <f t="shared" ca="1" si="0"/>
        <v>0.23943661971830996</v>
      </c>
      <c r="P32" s="28">
        <f t="shared" ca="1" si="1"/>
        <v>-6.6884176182707908E-2</v>
      </c>
    </row>
    <row r="33" spans="1:16" ht="18" customHeight="1">
      <c r="A33" s="178"/>
      <c r="B33" s="35" t="s">
        <v>208</v>
      </c>
      <c r="C33" s="31"/>
      <c r="D33" s="31">
        <f ca="1">935.2*OFFSET(D$112,MATCH($N$1,$C$112:$C$113,0)-1,0)</f>
        <v>935.2</v>
      </c>
      <c r="E33" s="31">
        <f ca="1">1021.3*OFFSET(E$112,MATCH($N$1,$C$112:$C$113,0)-1,0)</f>
        <v>1021.3</v>
      </c>
      <c r="F33" s="31">
        <f ca="1">1458.4*OFFSET(F$112,MATCH($N$1,$C$112:$C$113,0)-1,0)</f>
        <v>1458.4</v>
      </c>
      <c r="G33" s="31">
        <f ca="1">1225.1*OFFSET(G$112,MATCH($N$1,$C$112:$C$113,0)-1,0)</f>
        <v>1225.0999999999999</v>
      </c>
      <c r="H33" s="31">
        <f ca="1">1684.8*OFFSET(H$112,MATCH($N$1,$C$112:$C$113,0)-1,0)</f>
        <v>1684.8</v>
      </c>
      <c r="I33" s="31">
        <f ca="1">1467*OFFSET(I$112,MATCH($N$1,$C$112:$C$113,0)-1,0)</f>
        <v>1467</v>
      </c>
      <c r="J33" s="31">
        <f ca="1">1088*OFFSET(J$112,MATCH($N$1,$C$112:$C$113,0)-1,0)</f>
        <v>1088</v>
      </c>
      <c r="K33" s="31">
        <f ca="1">1172.1*OFFSET(K$112,MATCH($N$1,$C$112:$C$113,0)-1,0)</f>
        <v>1172.0999999999999</v>
      </c>
      <c r="L33" s="31">
        <f ca="1">1278.5*OFFSET(L$112,MATCH($N$1,$C$112:$C$113,0)-1,0)</f>
        <v>1278.5</v>
      </c>
      <c r="M33" s="31">
        <f ca="1">994.5*OFFSET(M$112,MATCH($N$1,$C$112:$C$113,0)-1,0)</f>
        <v>994.5</v>
      </c>
      <c r="N33" s="31">
        <v>975.4</v>
      </c>
      <c r="O33" s="28">
        <f t="shared" ca="1" si="0"/>
        <v>4.2985457656116263E-2</v>
      </c>
      <c r="P33" s="28">
        <f t="shared" ca="1" si="1"/>
        <v>-0.10349264705882355</v>
      </c>
    </row>
    <row r="34" spans="1:16" ht="18" customHeight="1">
      <c r="A34" s="178"/>
      <c r="B34" s="35" t="s">
        <v>209</v>
      </c>
      <c r="C34" s="31"/>
      <c r="D34" s="31">
        <f ca="1">218.7*OFFSET(D$112,MATCH($N$1,$C$112:$C$113,0)-1,0)</f>
        <v>218.7</v>
      </c>
      <c r="E34" s="31">
        <f ca="1">222.7*OFFSET(E$112,MATCH($N$1,$C$112:$C$113,0)-1,0)</f>
        <v>222.7</v>
      </c>
      <c r="F34" s="31">
        <f ca="1">386.9*OFFSET(F$112,MATCH($N$1,$C$112:$C$113,0)-1,0)</f>
        <v>386.9</v>
      </c>
      <c r="G34" s="31">
        <f ca="1">324.4*OFFSET(G$112,MATCH($N$1,$C$112:$C$113,0)-1,0)</f>
        <v>324.39999999999998</v>
      </c>
      <c r="H34" s="31">
        <f ca="1">321.8*OFFSET(H$112,MATCH($N$1,$C$112:$C$113,0)-1,0)</f>
        <v>321.8</v>
      </c>
      <c r="I34" s="31">
        <f ca="1">286.1*OFFSET(I$112,MATCH($N$1,$C$112:$C$113,0)-1,0)</f>
        <v>286.10000000000002</v>
      </c>
      <c r="J34" s="31">
        <f ca="1">290.4*OFFSET(J$112,MATCH($N$1,$C$112:$C$113,0)-1,0)</f>
        <v>290.39999999999998</v>
      </c>
      <c r="K34" s="31">
        <f ca="1">422.1*OFFSET(K$112,MATCH($N$1,$C$112:$C$113,0)-1,0)</f>
        <v>422.1</v>
      </c>
      <c r="L34" s="31">
        <f ca="1">358.5*OFFSET(L$112,MATCH($N$1,$C$112:$C$113,0)-1,0)</f>
        <v>358.5</v>
      </c>
      <c r="M34" s="31">
        <f ca="1">237.7*OFFSET(M$112,MATCH($N$1,$C$112:$C$113,0)-1,0)</f>
        <v>237.7</v>
      </c>
      <c r="N34" s="31">
        <v>266</v>
      </c>
      <c r="O34" s="28">
        <f t="shared" ca="1" si="0"/>
        <v>0.21627800640146325</v>
      </c>
      <c r="P34" s="28">
        <f t="shared" ca="1" si="1"/>
        <v>-8.4022038567493046E-2</v>
      </c>
    </row>
    <row r="35" spans="1:16" ht="18" customHeight="1">
      <c r="A35" s="178"/>
      <c r="B35" s="35" t="s">
        <v>210</v>
      </c>
      <c r="C35" s="31"/>
      <c r="D35" s="31">
        <f ca="1">1153.9*OFFSET(D$112,MATCH($N$1,$C$112:$C$113,0)-1,0)</f>
        <v>1153.9000000000001</v>
      </c>
      <c r="E35" s="31">
        <f ca="1">1243.9*OFFSET(E$112,MATCH($N$1,$C$112:$C$113,0)-1,0)</f>
        <v>1243.9000000000001</v>
      </c>
      <c r="F35" s="31">
        <f ca="1">1845.4*OFFSET(F$112,MATCH($N$1,$C$112:$C$113,0)-1,0)</f>
        <v>1845.4</v>
      </c>
      <c r="G35" s="31">
        <f ca="1">1549.4*OFFSET(G$112,MATCH($N$1,$C$112:$C$113,0)-1,0)</f>
        <v>1549.4</v>
      </c>
      <c r="H35" s="31">
        <f ca="1">2006.6*OFFSET(H$112,MATCH($N$1,$C$112:$C$113,0)-1,0)</f>
        <v>2006.6</v>
      </c>
      <c r="I35" s="31">
        <f ca="1">1753.2*OFFSET(I$112,MATCH($N$1,$C$112:$C$113,0)-1,0)</f>
        <v>1753.2</v>
      </c>
      <c r="J35" s="31">
        <f ca="1">1378.4*OFFSET(J$112,MATCH($N$1,$C$112:$C$113,0)-1,0)</f>
        <v>1378.4</v>
      </c>
      <c r="K35" s="31">
        <f ca="1">1594.3*OFFSET(K$112,MATCH($N$1,$C$112:$C$113,0)-1,0)</f>
        <v>1594.3</v>
      </c>
      <c r="L35" s="31">
        <f ca="1">1637.1*OFFSET(L$112,MATCH($N$1,$C$112:$C$113,0)-1,0)</f>
        <v>1637.1</v>
      </c>
      <c r="M35" s="31">
        <f ca="1">1232.2*OFFSET(M$112,MATCH($N$1,$C$112:$C$113,0)-1,0)</f>
        <v>1232.2</v>
      </c>
      <c r="N35" s="31">
        <v>1241.4000000000001</v>
      </c>
      <c r="O35" s="28">
        <f t="shared" ca="1" si="0"/>
        <v>7.5829794609584875E-2</v>
      </c>
      <c r="P35" s="28">
        <f t="shared" ca="1" si="1"/>
        <v>-9.9390597794544386E-2</v>
      </c>
    </row>
    <row r="36" spans="1:16" ht="18" customHeight="1">
      <c r="A36" s="178"/>
      <c r="B36" s="40" t="s">
        <v>211</v>
      </c>
      <c r="C36" s="41"/>
      <c r="D36" s="41">
        <f ca="1">594.5*OFFSET(D$112,MATCH($N$1,$C$112:$C$113,0)-1,0)</f>
        <v>594.5</v>
      </c>
      <c r="E36" s="41">
        <f ca="1">504.4*OFFSET(E$112,MATCH($N$1,$C$112:$C$113,0)-1,0)</f>
        <v>504.4</v>
      </c>
      <c r="F36" s="41">
        <f ca="1">313.3*OFFSET(F$112,MATCH($N$1,$C$112:$C$113,0)-1,0)</f>
        <v>313.3</v>
      </c>
      <c r="G36" s="41">
        <f ca="1">258*OFFSET(G$112,MATCH($N$1,$C$112:$C$113,0)-1,0)</f>
        <v>258</v>
      </c>
      <c r="H36" s="41">
        <f ca="1">472.4*OFFSET(H$112,MATCH($N$1,$C$112:$C$113,0)-1,0)</f>
        <v>472.4</v>
      </c>
      <c r="I36" s="41">
        <f ca="1">563.9*OFFSET(I$112,MATCH($N$1,$C$112:$C$113,0)-1,0)</f>
        <v>563.9</v>
      </c>
      <c r="J36" s="41">
        <f ca="1">1014.3*OFFSET(J$112,MATCH($N$1,$C$112:$C$113,0)-1,0)</f>
        <v>1014.3</v>
      </c>
      <c r="K36" s="41">
        <f ca="1">511.2*OFFSET(K$112,MATCH($N$1,$C$112:$C$113,0)-1,0)</f>
        <v>511.2</v>
      </c>
      <c r="L36" s="41">
        <f ca="1">428.1*OFFSET(L$112,MATCH($N$1,$C$112:$C$113,0)-1,0)</f>
        <v>428.1</v>
      </c>
      <c r="M36" s="41">
        <f ca="1">416.7*OFFSET(M$112,MATCH($N$1,$C$112:$C$113,0)-1,0)</f>
        <v>416.7</v>
      </c>
      <c r="N36" s="41">
        <v>317.5</v>
      </c>
      <c r="O36" s="28">
        <f t="shared" ca="1" si="0"/>
        <v>-0.4659377628259041</v>
      </c>
      <c r="P36" s="28">
        <f t="shared" ca="1" si="1"/>
        <v>-0.68697623977127076</v>
      </c>
    </row>
    <row r="37" spans="1:16" ht="18" customHeight="1">
      <c r="A37" s="178"/>
      <c r="B37" s="40" t="s">
        <v>212</v>
      </c>
      <c r="C37" s="41"/>
      <c r="D37" s="41">
        <f ca="1">398.2*OFFSET(D$112,MATCH($N$1,$C$112:$C$113,0)-1,0)</f>
        <v>398.2</v>
      </c>
      <c r="E37" s="41">
        <f ca="1">336.3*OFFSET(E$112,MATCH($N$1,$C$112:$C$113,0)-1,0)</f>
        <v>336.3</v>
      </c>
      <c r="F37" s="41">
        <f ca="1">-14.6*OFFSET(F$112,MATCH($N$1,$C$112:$C$113,0)-1,0)</f>
        <v>-14.6</v>
      </c>
      <c r="G37" s="41">
        <f ca="1">-14.7*OFFSET(G$112,MATCH($N$1,$C$112:$C$113,0)-1,0)</f>
        <v>-14.7</v>
      </c>
      <c r="H37" s="41">
        <f ca="1">43.6*OFFSET(H$112,MATCH($N$1,$C$112:$C$113,0)-1,0)</f>
        <v>43.6</v>
      </c>
      <c r="I37" s="41">
        <f ca="1">126.9*OFFSET(I$112,MATCH($N$1,$C$112:$C$113,0)-1,0)</f>
        <v>126.9</v>
      </c>
      <c r="J37" s="41">
        <f ca="1">682.9*OFFSET(J$112,MATCH($N$1,$C$112:$C$113,0)-1,0)</f>
        <v>682.9</v>
      </c>
      <c r="K37" s="41">
        <f ca="1">126*OFFSET(K$112,MATCH($N$1,$C$112:$C$113,0)-1,0)</f>
        <v>126</v>
      </c>
      <c r="L37" s="41">
        <f ca="1">59.3*OFFSET(L$112,MATCH($N$1,$C$112:$C$113,0)-1,0)</f>
        <v>59.3</v>
      </c>
      <c r="M37" s="41">
        <f ca="1">89.8*OFFSET(M$112,MATCH($N$1,$C$112:$C$113,0)-1,0)</f>
        <v>89.8</v>
      </c>
      <c r="N37" s="41">
        <v>46.800000000000004</v>
      </c>
      <c r="O37" s="28">
        <f t="shared" ca="1" si="0"/>
        <v>-0.8824711200401808</v>
      </c>
      <c r="P37" s="28">
        <f t="shared" ca="1" si="1"/>
        <v>-0.93146873627178217</v>
      </c>
    </row>
    <row r="38" spans="1:16" ht="18" customHeight="1">
      <c r="A38" s="178"/>
      <c r="B38" s="35" t="s">
        <v>213</v>
      </c>
      <c r="C38" s="31"/>
      <c r="D38" s="31">
        <f ca="1">214.4*OFFSET(D$112,MATCH($N$1,$C$112:$C$113,0)-1,0)</f>
        <v>214.4</v>
      </c>
      <c r="E38" s="31">
        <f ca="1">179*OFFSET(E$112,MATCH($N$1,$C$112:$C$113,0)-1,0)</f>
        <v>179</v>
      </c>
      <c r="F38" s="31"/>
      <c r="G38" s="31"/>
      <c r="H38" s="31"/>
      <c r="I38" s="31"/>
      <c r="J38" s="31"/>
      <c r="K38" s="31"/>
      <c r="L38" s="31"/>
      <c r="M38" s="31">
        <f ca="1">66.8*OFFSET(M$112,MATCH($N$1,$C$112:$C$113,0)-1,0)</f>
        <v>66.8</v>
      </c>
      <c r="N38" s="31"/>
      <c r="O38" s="28" t="str">
        <f t="shared" si="0"/>
        <v/>
      </c>
      <c r="P38" s="28" t="str">
        <f t="shared" si="1"/>
        <v/>
      </c>
    </row>
    <row r="39" spans="1:16" ht="18" customHeight="1">
      <c r="A39" s="178"/>
      <c r="B39" s="35" t="s">
        <v>214</v>
      </c>
      <c r="C39" s="31"/>
      <c r="D39" s="31">
        <f ca="1">76.3*OFFSET(D$112,MATCH($N$1,$C$112:$C$113,0)-1,0)</f>
        <v>76.3</v>
      </c>
      <c r="E39" s="31">
        <f ca="1">74.9*OFFSET(E$112,MATCH($N$1,$C$112:$C$113,0)-1,0)</f>
        <v>74.900000000000006</v>
      </c>
      <c r="F39" s="31"/>
      <c r="G39" s="31"/>
      <c r="H39" s="31"/>
      <c r="I39" s="31"/>
      <c r="J39" s="31"/>
      <c r="K39" s="31">
        <f ca="1">8.3*OFFSET(K$112,MATCH($N$1,$C$112:$C$113,0)-1,0)</f>
        <v>8.3000000000000007</v>
      </c>
      <c r="L39" s="31"/>
      <c r="M39" s="31">
        <f ca="1">8*OFFSET(M$112,MATCH($N$1,$C$112:$C$113,0)-1,0)</f>
        <v>8</v>
      </c>
      <c r="N39" s="31"/>
      <c r="O39" s="28" t="str">
        <f t="shared" si="0"/>
        <v/>
      </c>
      <c r="P39" s="28" t="str">
        <f t="shared" si="1"/>
        <v/>
      </c>
    </row>
    <row r="40" spans="1:16" ht="18" customHeight="1">
      <c r="A40" s="178"/>
      <c r="B40" s="35" t="s">
        <v>215</v>
      </c>
      <c r="C40" s="31"/>
      <c r="D40" s="31"/>
      <c r="E40" s="31"/>
      <c r="F40" s="31"/>
      <c r="G40" s="31"/>
      <c r="H40" s="31"/>
      <c r="I40" s="31"/>
      <c r="J40" s="31"/>
      <c r="K40" s="31"/>
      <c r="L40" s="31"/>
      <c r="M40" s="31">
        <f ca="1">6.9*OFFSET(M$112,MATCH($N$1,$C$112:$C$113,0)-1,0)</f>
        <v>6.9</v>
      </c>
      <c r="N40" s="31"/>
      <c r="O40" s="28" t="str">
        <f t="shared" si="0"/>
        <v/>
      </c>
      <c r="P40" s="28" t="str">
        <f t="shared" si="1"/>
        <v/>
      </c>
    </row>
    <row r="41" spans="1:16" ht="18" customHeight="1" thickBot="1">
      <c r="A41" s="179"/>
      <c r="B41" s="42" t="s">
        <v>216</v>
      </c>
      <c r="C41" s="43"/>
      <c r="D41" s="43">
        <f ca="1">107.5*OFFSET(D$112,MATCH($N$1,$C$112:$C$113,0)-1,0)</f>
        <v>107.5</v>
      </c>
      <c r="E41" s="43">
        <f ca="1">82.3*OFFSET(E$112,MATCH($N$1,$C$112:$C$113,0)-1,0)</f>
        <v>82.3</v>
      </c>
      <c r="F41" s="43"/>
      <c r="G41" s="43"/>
      <c r="H41" s="43"/>
      <c r="I41" s="43"/>
      <c r="J41" s="43"/>
      <c r="K41" s="43">
        <f ca="1">117.7*OFFSET(K$112,MATCH($N$1,$C$112:$C$113,0)-1,0)</f>
        <v>117.7</v>
      </c>
      <c r="L41" s="43"/>
      <c r="M41" s="43">
        <f ca="1">8.1*OFFSET(M$112,MATCH($N$1,$C$112:$C$113,0)-1,0)</f>
        <v>8.1</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163</v>
      </c>
      <c r="F46" s="90" t="s">
        <v>163</v>
      </c>
      <c r="G46" s="90" t="s">
        <v>158</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Area VIIBCDEFGHK 24-40m</v>
      </c>
      <c r="B48" s="202"/>
      <c r="C48" s="92"/>
      <c r="D48" s="92"/>
      <c r="E48" s="92"/>
      <c r="F48" s="92"/>
      <c r="G48" s="92"/>
      <c r="H48" s="202"/>
      <c r="I48" s="202"/>
      <c r="J48" s="202"/>
      <c r="K48" s="92" t="str">
        <f>$B24&amp;CHAR(10)&amp;$A$1</f>
        <v>Operating profit per kW day at sea (£)
Area VIIBCDEFGHK 24-40m</v>
      </c>
      <c r="L48" s="202"/>
      <c r="M48" s="202"/>
      <c r="N48" s="202"/>
      <c r="O48" s="202"/>
      <c r="P48" s="202"/>
    </row>
    <row r="49" spans="1:11" s="80" customFormat="1">
      <c r="A49" s="92" t="str">
        <f>$B22&amp;CHAR(10)&amp;$A$1</f>
        <v>Fishing income per kW day at sea (£)
Area VIIBCDEFGHK 24-40m</v>
      </c>
      <c r="B49" s="202"/>
      <c r="C49" s="202"/>
      <c r="D49" s="202"/>
      <c r="E49" s="202"/>
      <c r="F49" s="202"/>
      <c r="G49" s="202"/>
      <c r="H49" s="202"/>
      <c r="I49" s="202"/>
      <c r="J49" s="202"/>
      <c r="K49" s="202"/>
    </row>
    <row r="50" spans="1:11" s="80" customFormat="1">
      <c r="A50" s="92" t="str">
        <f>$B20&amp;CHAR(10)&amp;$A$1</f>
        <v>Average price per tonne landed (£)
Area VIIBCDEFGHK 24-40m</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Area VIIBCDEFGHK 24-40m</v>
      </c>
      <c r="C62" s="202"/>
      <c r="D62" s="202"/>
      <c r="E62" s="202"/>
      <c r="F62" s="92" t="str">
        <f>$B20&amp;CHAR(10)&amp;$A$1</f>
        <v>Average price per tonne landed (£)
Area VIIBCDEFGHK 24-40m</v>
      </c>
      <c r="G62" s="202"/>
      <c r="H62" s="202"/>
      <c r="I62" s="202"/>
      <c r="J62" s="202"/>
      <c r="K62" s="92" t="str">
        <f>"Average annual operating profit per vessel (£'000)"&amp;CHAR(10)&amp;$A$1</f>
        <v>Average annual operating profit per vessel (£'000)
Area VIIBCDEFGHK 24-40m</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Area VIIBCDEFGHK 24-40m</v>
      </c>
      <c r="F76" s="92" t="str">
        <f>"Top 5 landed species by value in "&amp;A77&amp;CHAR(10)&amp;A1</f>
        <v>Top 5 landed species by value in 2019
Area VIIBCDEFGHK 24-40m</v>
      </c>
    </row>
    <row r="77" spans="1:11" s="92" customFormat="1">
      <c r="A77" s="92">
        <v>2019</v>
      </c>
      <c r="B77" s="92" t="s">
        <v>298</v>
      </c>
      <c r="C77" s="93">
        <v>0.37718398475208487</v>
      </c>
      <c r="D77" s="94">
        <v>12153634</v>
      </c>
      <c r="G77" s="92" t="s">
        <v>299</v>
      </c>
      <c r="H77" s="93">
        <v>0.47984328280083893</v>
      </c>
      <c r="I77" s="94">
        <v>12153634</v>
      </c>
      <c r="K77" s="92" t="s">
        <v>230</v>
      </c>
    </row>
    <row r="78" spans="1:11" s="92" customFormat="1">
      <c r="B78" s="92" t="s">
        <v>300</v>
      </c>
      <c r="C78" s="93">
        <v>0.2561172092452057</v>
      </c>
      <c r="D78" s="94">
        <v>553960</v>
      </c>
      <c r="G78" s="92" t="s">
        <v>301</v>
      </c>
      <c r="H78" s="93">
        <v>0.241249614301356</v>
      </c>
      <c r="I78" s="94">
        <v>553960</v>
      </c>
    </row>
    <row r="79" spans="1:11" s="92" customFormat="1">
      <c r="B79" s="92" t="s">
        <v>302</v>
      </c>
      <c r="C79" s="93">
        <v>5.8616343149368998E-2</v>
      </c>
      <c r="D79" s="94">
        <v>1692097</v>
      </c>
      <c r="G79" s="92" t="s">
        <v>303</v>
      </c>
      <c r="H79" s="93">
        <v>6.9384290808120502E-2</v>
      </c>
      <c r="I79" s="94">
        <v>3050596</v>
      </c>
    </row>
    <row r="80" spans="1:11" s="92" customFormat="1">
      <c r="B80" s="92" t="s">
        <v>304</v>
      </c>
      <c r="C80" s="93">
        <v>4.8459195064298986E-2</v>
      </c>
      <c r="D80" s="94">
        <v>3689192</v>
      </c>
      <c r="G80" s="92" t="s">
        <v>305</v>
      </c>
      <c r="H80" s="93">
        <v>3.9842838337258449E-2</v>
      </c>
      <c r="I80" s="94">
        <v>1692097</v>
      </c>
    </row>
    <row r="81" spans="1:19" s="92" customFormat="1">
      <c r="B81" s="92" t="s">
        <v>306</v>
      </c>
      <c r="C81" s="93">
        <v>3.2952092384173036E-2</v>
      </c>
      <c r="D81" s="94">
        <v>3050596</v>
      </c>
      <c r="G81" s="92" t="s">
        <v>307</v>
      </c>
      <c r="H81" s="93">
        <v>2.8541443455460822E-2</v>
      </c>
      <c r="I81" s="94">
        <v>3689192</v>
      </c>
    </row>
    <row r="82" spans="1:19" s="92" customFormat="1">
      <c r="B82" s="92" t="s">
        <v>308</v>
      </c>
      <c r="C82" s="93">
        <v>0.22667117540486836</v>
      </c>
      <c r="D82" s="94">
        <v>5920853</v>
      </c>
      <c r="G82" s="92" t="s">
        <v>309</v>
      </c>
      <c r="H82" s="93">
        <v>0.14113853029696533</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161</v>
      </c>
      <c r="D92" s="98">
        <v>0.30442663104583473</v>
      </c>
      <c r="E92" s="98">
        <v>0.29920042342514119</v>
      </c>
      <c r="F92" s="98">
        <v>0.4031881504887127</v>
      </c>
      <c r="G92" s="98">
        <v>0.40701506377959568</v>
      </c>
      <c r="H92" s="98">
        <v>0.38506751811489454</v>
      </c>
      <c r="I92" s="98">
        <v>0.45823946110685815</v>
      </c>
      <c r="J92" s="98">
        <v>0.43862121460453507</v>
      </c>
      <c r="K92" s="98">
        <v>0.4587744128226347</v>
      </c>
      <c r="L92" s="98">
        <v>0.47984328280083893</v>
      </c>
      <c r="M92" s="98">
        <v>0.47432368508969064</v>
      </c>
      <c r="O92" s="92">
        <v>12153634</v>
      </c>
    </row>
    <row r="93" spans="1:19" s="92" customFormat="1" hidden="1">
      <c r="B93" s="92">
        <v>2</v>
      </c>
      <c r="C93" s="92" t="s">
        <v>310</v>
      </c>
      <c r="D93" s="98">
        <v>0.2673153657787683</v>
      </c>
      <c r="E93" s="98">
        <v>0.25100149250787346</v>
      </c>
      <c r="F93" s="98">
        <v>0.32393297562530143</v>
      </c>
      <c r="G93" s="98">
        <v>0.32545855941152041</v>
      </c>
      <c r="H93" s="98">
        <v>0.30892385848014436</v>
      </c>
      <c r="I93" s="98">
        <v>0.33941883631047026</v>
      </c>
      <c r="J93" s="98">
        <v>0.30968710313490122</v>
      </c>
      <c r="K93" s="98">
        <v>0.26760876733399463</v>
      </c>
      <c r="L93" s="98">
        <v>0.241249614301356</v>
      </c>
      <c r="M93" s="98">
        <v>0.25843460411099983</v>
      </c>
      <c r="O93" s="92">
        <v>553960</v>
      </c>
    </row>
    <row r="94" spans="1:19" s="92" customFormat="1" hidden="1">
      <c r="B94" s="92">
        <v>3</v>
      </c>
      <c r="C94" s="92" t="s">
        <v>160</v>
      </c>
      <c r="D94" s="98"/>
      <c r="E94" s="98"/>
      <c r="F94" s="98"/>
      <c r="G94" s="98"/>
      <c r="H94" s="98"/>
      <c r="I94" s="98">
        <v>3.6085591352397257E-2</v>
      </c>
      <c r="J94" s="98">
        <v>7.8080402166688614E-2</v>
      </c>
      <c r="K94" s="98">
        <v>6.2714745381407255E-2</v>
      </c>
      <c r="L94" s="98">
        <v>6.9384290808120502E-2</v>
      </c>
      <c r="M94" s="98">
        <v>4.4411901657755409E-2</v>
      </c>
      <c r="O94" s="92">
        <v>3050596</v>
      </c>
    </row>
    <row r="95" spans="1:19" s="92" customFormat="1" hidden="1">
      <c r="B95" s="92">
        <v>4</v>
      </c>
      <c r="C95" s="92" t="s">
        <v>165</v>
      </c>
      <c r="D95" s="98">
        <v>4.8690956622936987E-2</v>
      </c>
      <c r="E95" s="98"/>
      <c r="F95" s="98">
        <v>3.3098359216542111E-2</v>
      </c>
      <c r="G95" s="98">
        <v>4.1481225663011344E-2</v>
      </c>
      <c r="H95" s="98">
        <v>4.9009991365753493E-2</v>
      </c>
      <c r="I95" s="98">
        <v>4.9711217944211454E-2</v>
      </c>
      <c r="J95" s="98">
        <v>4.7200137152556075E-2</v>
      </c>
      <c r="K95" s="98">
        <v>3.197149527225629E-2</v>
      </c>
      <c r="L95" s="98">
        <v>3.9842838337258449E-2</v>
      </c>
      <c r="M95" s="98">
        <v>3.7735491137039105E-2</v>
      </c>
      <c r="O95" s="92">
        <v>1692097</v>
      </c>
    </row>
    <row r="96" spans="1:19" s="92" customFormat="1" hidden="1">
      <c r="B96" s="92">
        <v>5</v>
      </c>
      <c r="C96" s="92" t="s">
        <v>311</v>
      </c>
      <c r="D96" s="98"/>
      <c r="E96" s="98"/>
      <c r="F96" s="98"/>
      <c r="G96" s="98"/>
      <c r="H96" s="98"/>
      <c r="I96" s="98">
        <v>3.3873146624952548E-2</v>
      </c>
      <c r="J96" s="98">
        <v>2.6442779028529543E-2</v>
      </c>
      <c r="K96" s="98">
        <v>3.1937299966021626E-2</v>
      </c>
      <c r="L96" s="98">
        <v>2.8541443455460822E-2</v>
      </c>
      <c r="M96" s="98"/>
      <c r="O96" s="92">
        <v>3689192</v>
      </c>
    </row>
    <row r="97" spans="1:15" s="92" customFormat="1" hidden="1">
      <c r="B97" s="92">
        <v>6</v>
      </c>
      <c r="C97" s="92" t="s">
        <v>157</v>
      </c>
      <c r="D97" s="98"/>
      <c r="E97" s="98"/>
      <c r="F97" s="98">
        <v>5.6317600795370425E-2</v>
      </c>
      <c r="G97" s="98">
        <v>2.2554224177519389E-2</v>
      </c>
      <c r="H97" s="98"/>
      <c r="I97" s="98"/>
      <c r="J97" s="98"/>
      <c r="K97" s="98"/>
      <c r="L97" s="98"/>
      <c r="M97" s="98">
        <v>3.1939635681986357E-2</v>
      </c>
      <c r="O97" s="92">
        <v>11115023</v>
      </c>
    </row>
    <row r="98" spans="1:15" s="92" customFormat="1" hidden="1">
      <c r="B98" s="92">
        <v>7</v>
      </c>
      <c r="C98" s="92" t="s">
        <v>169</v>
      </c>
      <c r="D98" s="98"/>
      <c r="E98" s="98">
        <v>5.0350147607056209E-2</v>
      </c>
      <c r="F98" s="98">
        <v>3.8958014861504915E-2</v>
      </c>
      <c r="G98" s="98">
        <v>4.0309536607420322E-2</v>
      </c>
      <c r="H98" s="98">
        <v>3.6188919291715992E-2</v>
      </c>
      <c r="I98" s="98"/>
      <c r="J98" s="98"/>
      <c r="K98" s="98"/>
      <c r="L98" s="98"/>
      <c r="M98" s="98"/>
      <c r="O98" s="92">
        <v>2480382</v>
      </c>
    </row>
    <row r="99" spans="1:15" s="92" customFormat="1" hidden="1">
      <c r="B99" s="92">
        <v>8</v>
      </c>
      <c r="C99" s="92" t="s">
        <v>168</v>
      </c>
      <c r="D99" s="98">
        <v>7.9055245310672886E-2</v>
      </c>
      <c r="E99" s="98">
        <v>6.8576632937303705E-2</v>
      </c>
      <c r="F99" s="98"/>
      <c r="G99" s="98"/>
      <c r="H99" s="98">
        <v>3.0294966055495028E-2</v>
      </c>
      <c r="I99" s="98"/>
      <c r="J99" s="98"/>
      <c r="K99" s="98"/>
      <c r="L99" s="98"/>
      <c r="M99" s="98"/>
      <c r="O99" s="92">
        <v>7434864</v>
      </c>
    </row>
    <row r="100" spans="1:15" s="92" customFormat="1" hidden="1">
      <c r="B100" s="92">
        <v>9</v>
      </c>
      <c r="C100" s="92" t="s">
        <v>245</v>
      </c>
      <c r="D100" s="98">
        <v>0.25851294981435552</v>
      </c>
      <c r="E100" s="98">
        <v>0.29627581479752518</v>
      </c>
      <c r="F100" s="98">
        <v>0.14450489901256838</v>
      </c>
      <c r="G100" s="98">
        <v>0.16318139036093285</v>
      </c>
      <c r="H100" s="98">
        <v>0.19051474669199658</v>
      </c>
      <c r="I100" s="98">
        <v>8.2671746661110365E-2</v>
      </c>
      <c r="J100" s="98">
        <v>9.9968363912789474E-2</v>
      </c>
      <c r="K100" s="98">
        <v>0.14699327922368549</v>
      </c>
      <c r="L100" s="98">
        <v>0.1411385302969653</v>
      </c>
      <c r="M100" s="98">
        <v>0.15315468232252863</v>
      </c>
      <c r="O100" s="92">
        <v>5920853</v>
      </c>
    </row>
    <row r="101" spans="1:15" s="92" customFormat="1" hidden="1">
      <c r="B101" s="92">
        <v>10</v>
      </c>
      <c r="D101" s="98"/>
      <c r="E101" s="98"/>
      <c r="F101" s="98"/>
      <c r="G101" s="98"/>
      <c r="H101" s="98"/>
      <c r="I101" s="98"/>
      <c r="J101" s="98"/>
      <c r="K101" s="98"/>
      <c r="L101" s="98"/>
      <c r="M101" s="98"/>
      <c r="O101" s="92">
        <v>14393110</v>
      </c>
    </row>
    <row r="102" spans="1:15" s="92" customFormat="1" hidden="1">
      <c r="B102" s="92">
        <v>11</v>
      </c>
      <c r="D102" s="98"/>
      <c r="E102" s="98"/>
      <c r="F102" s="98"/>
      <c r="G102" s="98"/>
      <c r="H102" s="98"/>
      <c r="I102" s="98"/>
      <c r="J102" s="98"/>
      <c r="K102" s="98"/>
      <c r="L102" s="98"/>
      <c r="M102" s="98"/>
      <c r="O102" s="92">
        <v>2887140</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10</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t="s">
        <v>253</v>
      </c>
      <c r="D120" s="54">
        <v>6</v>
      </c>
      <c r="E120" s="54" t="s">
        <v>253</v>
      </c>
      <c r="F120" s="55">
        <v>14</v>
      </c>
    </row>
    <row r="121" spans="1:15" ht="18" customHeight="1">
      <c r="A121" s="173" t="s">
        <v>191</v>
      </c>
      <c r="B121" s="33" t="s">
        <v>192</v>
      </c>
      <c r="C121" s="56"/>
      <c r="D121" s="56">
        <v>33.741666793823242</v>
      </c>
      <c r="E121" s="56"/>
      <c r="F121" s="57">
        <v>31.847143173217773</v>
      </c>
      <c r="G121" s="206"/>
      <c r="H121" s="206"/>
      <c r="I121" s="206"/>
      <c r="J121" s="206"/>
      <c r="K121" s="206"/>
      <c r="L121" s="206"/>
      <c r="M121" s="206"/>
      <c r="N121" s="206"/>
      <c r="O121" s="206"/>
    </row>
    <row r="122" spans="1:15" ht="18" customHeight="1">
      <c r="A122" s="174"/>
      <c r="B122" s="35" t="s">
        <v>184</v>
      </c>
      <c r="C122" s="58"/>
      <c r="D122" s="58">
        <v>660.5</v>
      </c>
      <c r="E122" s="58"/>
      <c r="F122" s="59">
        <v>640.78570556640625</v>
      </c>
      <c r="G122" s="206"/>
      <c r="H122" s="206"/>
      <c r="I122" s="206"/>
      <c r="J122" s="206"/>
      <c r="K122" s="206"/>
      <c r="L122" s="206"/>
      <c r="M122" s="206"/>
      <c r="N122" s="206"/>
      <c r="O122" s="206"/>
    </row>
    <row r="123" spans="1:15" ht="18" customHeight="1">
      <c r="A123" s="174"/>
      <c r="B123" s="35" t="s">
        <v>185</v>
      </c>
      <c r="C123" s="58"/>
      <c r="D123" s="58">
        <v>302.33334350585938</v>
      </c>
      <c r="E123" s="58"/>
      <c r="F123" s="59">
        <v>301.92855834960938</v>
      </c>
      <c r="G123" s="206"/>
      <c r="H123" s="206"/>
      <c r="I123" s="206"/>
      <c r="J123" s="206"/>
      <c r="K123" s="206"/>
      <c r="L123" s="206"/>
      <c r="M123" s="206"/>
      <c r="N123" s="206"/>
      <c r="O123" s="206"/>
    </row>
    <row r="124" spans="1:15" ht="18" customHeight="1">
      <c r="A124" s="174"/>
      <c r="B124" s="35" t="s">
        <v>186</v>
      </c>
      <c r="C124" s="58"/>
      <c r="D124" s="58">
        <v>562.17416381835938</v>
      </c>
      <c r="E124" s="58"/>
      <c r="F124" s="59">
        <v>542.51556396484375</v>
      </c>
      <c r="G124" s="206"/>
      <c r="H124" s="206"/>
      <c r="I124" s="206"/>
      <c r="J124" s="206"/>
      <c r="K124" s="206"/>
      <c r="L124" s="206"/>
      <c r="M124" s="206"/>
      <c r="N124" s="206"/>
      <c r="O124" s="206"/>
    </row>
    <row r="125" spans="1:15" ht="18" customHeight="1">
      <c r="A125" s="174"/>
      <c r="B125" s="35" t="s">
        <v>187</v>
      </c>
      <c r="C125" s="31"/>
      <c r="D125" s="31">
        <v>584.02703857421875</v>
      </c>
      <c r="E125" s="31"/>
      <c r="F125" s="60">
        <v>452.1256103515625</v>
      </c>
      <c r="G125" s="206"/>
      <c r="H125" s="206"/>
      <c r="I125" s="206"/>
      <c r="J125" s="206"/>
      <c r="K125" s="206"/>
      <c r="L125" s="206"/>
      <c r="M125" s="206"/>
      <c r="N125" s="206"/>
      <c r="O125" s="206"/>
    </row>
    <row r="126" spans="1:15" ht="18" customHeight="1">
      <c r="A126" s="174"/>
      <c r="B126" s="35" t="s">
        <v>193</v>
      </c>
      <c r="C126" s="31"/>
      <c r="D126" s="31">
        <f ca="1">1769.8475625*OFFSET($L$112,MATCH($N$1,$C$112:$C$113,0)-1,0)</f>
        <v>1769.8475625000001</v>
      </c>
      <c r="E126" s="31"/>
      <c r="F126" s="60">
        <f ca="1">1319.515625*OFFSET($L$112,MATCH($N$1,$C$112:$C$113,0)-1,0)</f>
        <v>1319.515625</v>
      </c>
      <c r="G126" s="206"/>
      <c r="H126" s="206"/>
      <c r="I126" s="206"/>
      <c r="J126" s="206"/>
      <c r="K126" s="206"/>
      <c r="L126" s="206"/>
      <c r="M126" s="206"/>
      <c r="N126" s="206"/>
      <c r="O126" s="206"/>
    </row>
    <row r="127" spans="1:15" ht="18" customHeight="1">
      <c r="A127" s="174"/>
      <c r="B127" s="35" t="s">
        <v>189</v>
      </c>
      <c r="C127" s="58"/>
      <c r="D127" s="58">
        <v>305.83332824707031</v>
      </c>
      <c r="E127" s="58"/>
      <c r="F127" s="59">
        <v>224</v>
      </c>
      <c r="G127" s="206"/>
      <c r="H127" s="206"/>
      <c r="I127" s="206"/>
      <c r="J127" s="206"/>
      <c r="K127" s="206"/>
      <c r="L127" s="206"/>
      <c r="M127" s="206"/>
      <c r="N127" s="206"/>
      <c r="O127" s="206"/>
    </row>
    <row r="128" spans="1:15" ht="18" customHeight="1">
      <c r="A128" s="174"/>
      <c r="B128" s="35" t="s">
        <v>194</v>
      </c>
      <c r="C128" s="58"/>
      <c r="D128" s="58">
        <v>24.166666984558105</v>
      </c>
      <c r="E128" s="58"/>
      <c r="F128" s="59">
        <v>21.285715103149414</v>
      </c>
      <c r="G128" s="206"/>
      <c r="H128" s="206"/>
      <c r="I128" s="206"/>
      <c r="J128" s="206"/>
      <c r="K128" s="206"/>
      <c r="L128" s="206"/>
      <c r="M128" s="206"/>
      <c r="N128" s="206"/>
      <c r="O128" s="206"/>
    </row>
    <row r="129" spans="1:15" ht="18" customHeight="1">
      <c r="A129" s="174"/>
      <c r="B129" s="35" t="s">
        <v>195</v>
      </c>
      <c r="C129" s="61"/>
      <c r="D129" s="61">
        <v>1.9096252260067845</v>
      </c>
      <c r="E129" s="61"/>
      <c r="F129" s="62">
        <v>2.0184178352355957</v>
      </c>
      <c r="G129" s="206"/>
      <c r="H129" s="206"/>
      <c r="I129" s="206"/>
      <c r="J129" s="206"/>
      <c r="K129" s="206"/>
      <c r="L129" s="206"/>
      <c r="M129" s="206"/>
      <c r="N129" s="206"/>
      <c r="O129" s="206"/>
    </row>
    <row r="130" spans="1:15" ht="18" customHeight="1">
      <c r="A130" s="175"/>
      <c r="B130" s="37" t="s">
        <v>196</v>
      </c>
      <c r="C130" s="38"/>
      <c r="D130" s="38">
        <f ca="1">3030.42058946572*OFFSET($L$112,MATCH($N$1,$C$112:$C$113,0)-1,0)</f>
        <v>3030.4205894657198</v>
      </c>
      <c r="E130" s="38"/>
      <c r="F130" s="63">
        <f ca="1">2918*OFFSET($L$112,MATCH($N$1,$C$112:$C$113,0)-1,0)</f>
        <v>2918</v>
      </c>
      <c r="G130" s="206"/>
      <c r="H130" s="206"/>
      <c r="I130" s="206"/>
      <c r="J130" s="206"/>
      <c r="K130" s="206"/>
      <c r="L130" s="206"/>
      <c r="M130" s="206"/>
      <c r="N130" s="206"/>
      <c r="O130" s="206"/>
    </row>
    <row r="131" spans="1:15" ht="18" customHeight="1">
      <c r="A131" s="184" t="s">
        <v>197</v>
      </c>
      <c r="B131" s="33" t="s">
        <v>198</v>
      </c>
      <c r="C131" s="64"/>
      <c r="D131" s="64">
        <v>2.8937752739256601</v>
      </c>
      <c r="E131" s="64"/>
      <c r="F131" s="65">
        <v>3.287018245050878</v>
      </c>
      <c r="G131" s="206"/>
      <c r="H131" s="206"/>
      <c r="I131" s="206"/>
      <c r="J131" s="206"/>
      <c r="K131" s="206"/>
      <c r="L131" s="206"/>
      <c r="M131" s="206"/>
      <c r="N131" s="206"/>
      <c r="O131" s="206"/>
    </row>
    <row r="132" spans="1:15" ht="18" customHeight="1">
      <c r="A132" s="185"/>
      <c r="B132" s="35" t="s">
        <v>199</v>
      </c>
      <c r="C132" s="61"/>
      <c r="D132" s="61">
        <f ca="1">8.76935617139111*OFFSET($L$112,MATCH($N$1,$C$112:$C$113,0)-1,0)</f>
        <v>8.7693561713911095</v>
      </c>
      <c r="E132" s="61"/>
      <c r="F132" s="62">
        <f ca="1">9.59306846305864*OFFSET($L$112,MATCH($N$1,$C$112:$C$113,0)-1,0)</f>
        <v>9.5930684630586391</v>
      </c>
      <c r="G132" s="206"/>
      <c r="H132" s="206"/>
      <c r="I132" s="206"/>
      <c r="J132" s="206"/>
      <c r="K132" s="206"/>
      <c r="L132" s="206"/>
      <c r="M132" s="206"/>
      <c r="N132" s="206"/>
      <c r="O132" s="206"/>
    </row>
    <row r="133" spans="1:15" ht="18" customHeight="1">
      <c r="A133" s="185"/>
      <c r="B133" s="35" t="s">
        <v>154</v>
      </c>
      <c r="C133" s="61"/>
      <c r="D133" s="61">
        <f ca="1">8.25887157976394*OFFSET($L$112,MATCH($N$1,$C$112:$C$113,0)-1,0)</f>
        <v>8.2588715797639392</v>
      </c>
      <c r="E133" s="61"/>
      <c r="F133" s="62">
        <f ca="1">8.94003369484502*OFFSET($L$112,MATCH($N$1,$C$112:$C$113,0)-1,0)</f>
        <v>8.9400336948450203</v>
      </c>
      <c r="G133" s="206"/>
      <c r="H133" s="206"/>
      <c r="I133" s="206"/>
      <c r="J133" s="206"/>
      <c r="K133" s="206"/>
      <c r="L133" s="206"/>
      <c r="M133" s="206"/>
      <c r="N133" s="206"/>
      <c r="O133" s="206"/>
    </row>
    <row r="134" spans="1:15" ht="18" customHeight="1">
      <c r="A134" s="186"/>
      <c r="B134" s="37" t="s">
        <v>155</v>
      </c>
      <c r="C134" s="66"/>
      <c r="D134" s="66">
        <f ca="1">0.510484591627168*OFFSET($L$112,MATCH($N$1,$C$112:$C$113,0)-1,0)</f>
        <v>0.51048459162716797</v>
      </c>
      <c r="E134" s="66"/>
      <c r="F134" s="67">
        <f ca="1">0.653034768213613*OFFSET($L$112,MATCH($N$1,$C$112:$C$113,0)-1,0)</f>
        <v>0.65303476821361295</v>
      </c>
      <c r="G134" s="206"/>
      <c r="H134" s="206"/>
      <c r="I134" s="206"/>
      <c r="J134" s="206"/>
      <c r="K134" s="206"/>
      <c r="L134" s="206"/>
      <c r="M134" s="206"/>
      <c r="N134" s="206"/>
      <c r="O134" s="206"/>
    </row>
    <row r="135" spans="1:15" ht="18" customHeight="1">
      <c r="A135" s="187" t="s">
        <v>254</v>
      </c>
      <c r="B135" s="35" t="s">
        <v>255</v>
      </c>
      <c r="C135" s="68"/>
      <c r="D135" s="68">
        <f ca="1">387.36446875*OFFSET($L$112,MATCH($N$1,$C$112:$C$113,0)-1,0)</f>
        <v>387.36446875000001</v>
      </c>
      <c r="E135" s="68"/>
      <c r="F135" s="69">
        <f ca="1">275.78871875*OFFSET($L$112,MATCH($N$1,$C$112:$C$113,0)-1,0)</f>
        <v>275.78871874999999</v>
      </c>
      <c r="G135" s="206"/>
      <c r="H135" s="206"/>
      <c r="I135" s="206"/>
      <c r="J135" s="206"/>
      <c r="K135" s="206"/>
      <c r="L135" s="206"/>
      <c r="M135" s="206"/>
      <c r="N135" s="206"/>
      <c r="O135" s="206"/>
    </row>
    <row r="136" spans="1:15" ht="18" customHeight="1">
      <c r="A136" s="188"/>
      <c r="B136" s="35" t="s">
        <v>256</v>
      </c>
      <c r="C136" s="30"/>
      <c r="D136" s="30">
        <v>738749.97100830078</v>
      </c>
      <c r="E136" s="30"/>
      <c r="F136" s="70">
        <v>526428.57142857148</v>
      </c>
      <c r="G136" s="206"/>
      <c r="H136" s="206"/>
      <c r="I136" s="206"/>
      <c r="J136" s="206"/>
      <c r="K136" s="206"/>
      <c r="L136" s="206"/>
      <c r="M136" s="206"/>
      <c r="N136" s="206"/>
      <c r="O136" s="206"/>
    </row>
    <row r="137" spans="1:15" ht="18" customHeight="1">
      <c r="A137" s="188"/>
      <c r="B137" s="35" t="s">
        <v>257</v>
      </c>
      <c r="C137" s="30"/>
      <c r="D137" s="30">
        <v>2415.5312805264139</v>
      </c>
      <c r="E137" s="30"/>
      <c r="F137" s="70">
        <v>2350.12744140625</v>
      </c>
      <c r="G137" s="206"/>
      <c r="H137" s="206"/>
      <c r="I137" s="206"/>
      <c r="J137" s="206"/>
      <c r="K137" s="206"/>
      <c r="L137" s="206"/>
      <c r="M137" s="206"/>
      <c r="N137" s="206"/>
      <c r="O137" s="206"/>
    </row>
    <row r="138" spans="1:15" ht="18" customHeight="1">
      <c r="A138" s="188"/>
      <c r="B138" s="35" t="s">
        <v>258</v>
      </c>
      <c r="C138" s="30"/>
      <c r="D138" s="30">
        <f ca="1">1266.58683986548*OFFSET($L$112,MATCH($N$1,$C$112:$C$113,0)-1,0)</f>
        <v>1266.58683986548</v>
      </c>
      <c r="E138" s="30"/>
      <c r="F138" s="70">
        <f ca="1">1231.19963727679*OFFSET($L$112,MATCH($N$1,$C$112:$C$113,0)-1,0)</f>
        <v>1231.1996372767901</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c r="D139" s="30">
        <f ca="1">663.264614761108*OFFSET($L$112,MATCH($N$1,$C$112:$C$113,0)-1,0)</f>
        <v>663.26461476110796</v>
      </c>
      <c r="E139" s="30"/>
      <c r="F139" s="70">
        <f ca="1">609.982519095861*OFFSET($L$112,MATCH($N$1,$C$112:$C$113,0)-1,0)</f>
        <v>609.98251909586099</v>
      </c>
      <c r="G139" s="206"/>
      <c r="H139" s="206"/>
      <c r="I139" s="46"/>
      <c r="J139" s="206"/>
      <c r="K139" s="71" t="s">
        <v>260</v>
      </c>
      <c r="L139" s="72">
        <f t="shared" ref="L139:M141" si="2">C140</f>
        <v>0</v>
      </c>
      <c r="M139" s="72">
        <f t="shared" ca="1" si="2"/>
        <v>1773.1811250000001</v>
      </c>
      <c r="N139" s="72">
        <f>E140</f>
        <v>0</v>
      </c>
      <c r="O139" s="72"/>
    </row>
    <row r="140" spans="1:15" ht="18" customHeight="1">
      <c r="A140" s="166" t="s">
        <v>261</v>
      </c>
      <c r="B140" s="33" t="s">
        <v>262</v>
      </c>
      <c r="C140" s="73"/>
      <c r="D140" s="73">
        <f ca="1">1773.181125*OFFSET($L$112,MATCH($N$1,$C$112:$C$113,0)-1,0)</f>
        <v>1773.1811250000001</v>
      </c>
      <c r="E140" s="73"/>
      <c r="F140" s="74">
        <f ca="1">1322.001*OFFSET($L$112,MATCH($N$1,$C$112:$C$113,0)-1,0)</f>
        <v>1322.001</v>
      </c>
      <c r="G140" s="206"/>
      <c r="H140" s="206"/>
      <c r="I140" s="46"/>
      <c r="J140" s="206"/>
      <c r="K140" s="71" t="s">
        <v>263</v>
      </c>
      <c r="L140" s="72">
        <f t="shared" si="2"/>
        <v>0</v>
      </c>
      <c r="M140" s="72">
        <f t="shared" ca="1" si="2"/>
        <v>1670.1541875</v>
      </c>
      <c r="N140" s="72">
        <f>E141</f>
        <v>0</v>
      </c>
      <c r="O140" s="72"/>
    </row>
    <row r="141" spans="1:15" ht="18" customHeight="1">
      <c r="A141" s="167"/>
      <c r="B141" s="35" t="s">
        <v>264</v>
      </c>
      <c r="C141" s="30"/>
      <c r="D141" s="30">
        <f ca="1">1670.1541875*OFFSET($L$112,MATCH($N$1,$C$112:$C$113,0)-1,0)</f>
        <v>1670.1541875</v>
      </c>
      <c r="E141" s="30"/>
      <c r="F141" s="70">
        <f ca="1">1232.17675*OFFSET($L$112,MATCH($N$1,$C$112:$C$113,0)-1,0)</f>
        <v>1232.1767500000001</v>
      </c>
      <c r="G141" s="206"/>
      <c r="H141" s="206"/>
      <c r="I141" s="46"/>
      <c r="J141" s="206"/>
      <c r="K141" s="71" t="s">
        <v>265</v>
      </c>
      <c r="L141" s="72">
        <f t="shared" si="2"/>
        <v>0</v>
      </c>
      <c r="M141" s="72">
        <f t="shared" ca="1" si="2"/>
        <v>103.0269375</v>
      </c>
      <c r="N141" s="72">
        <f>E142</f>
        <v>0</v>
      </c>
      <c r="O141" s="72"/>
    </row>
    <row r="142" spans="1:15" ht="18" customHeight="1">
      <c r="A142" s="168"/>
      <c r="B142" s="37" t="s">
        <v>266</v>
      </c>
      <c r="C142" s="38"/>
      <c r="D142" s="38">
        <f ca="1">103.0269375*OFFSET($L$112,MATCH($N$1,$C$112:$C$113,0)-1,0)</f>
        <v>103.0269375</v>
      </c>
      <c r="E142" s="38"/>
      <c r="F142" s="63">
        <f ca="1">89.8241875*OFFSET($L$112,MATCH($N$1,$C$112:$C$113,0)-1,0)</f>
        <v>89.824187499999994</v>
      </c>
      <c r="G142" s="206"/>
      <c r="H142" s="206"/>
      <c r="I142" s="46"/>
      <c r="J142" s="206"/>
      <c r="K142" s="71" t="s">
        <v>267</v>
      </c>
      <c r="L142" s="75" t="str">
        <f>IFERROR(L140/L$139,"")</f>
        <v/>
      </c>
      <c r="M142" s="75">
        <f t="shared" ref="M142:N143" ca="1" si="3">IFERROR(M140/M$139,"")</f>
        <v>0.94189711584032343</v>
      </c>
      <c r="N142" s="75" t="str">
        <f t="shared" si="3"/>
        <v/>
      </c>
      <c r="O142" s="75"/>
    </row>
    <row r="143" spans="1:15" ht="18" customHeight="1">
      <c r="A143" s="206"/>
      <c r="B143" s="206"/>
      <c r="C143" s="206"/>
      <c r="D143" s="206"/>
      <c r="E143" s="206"/>
      <c r="F143" s="206"/>
      <c r="G143" s="206"/>
      <c r="H143" s="206"/>
      <c r="I143" s="46"/>
      <c r="J143" s="206"/>
      <c r="K143" s="71" t="s">
        <v>268</v>
      </c>
      <c r="L143" s="75" t="str">
        <f>IFERROR(L141/L$139,"")</f>
        <v/>
      </c>
      <c r="M143" s="75">
        <f t="shared" ca="1" si="3"/>
        <v>5.8102884159676578E-2</v>
      </c>
      <c r="N143" s="75" t="str">
        <f t="shared" si="3"/>
        <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10</v>
      </c>
      <c r="B161" s="51"/>
      <c r="C161" s="76" t="s">
        <v>249</v>
      </c>
      <c r="D161" s="76" t="s">
        <v>270</v>
      </c>
      <c r="E161" s="76" t="s">
        <v>251</v>
      </c>
      <c r="F161" s="76" t="s">
        <v>271</v>
      </c>
      <c r="G161" s="77">
        <v>9</v>
      </c>
      <c r="H161" s="76"/>
      <c r="I161" s="76" t="s">
        <v>249</v>
      </c>
      <c r="J161" s="76" t="s">
        <v>270</v>
      </c>
      <c r="K161" s="76" t="s">
        <v>251</v>
      </c>
      <c r="L161" s="51" t="s">
        <v>271</v>
      </c>
      <c r="R161" s="206"/>
      <c r="S161" s="206"/>
    </row>
    <row r="162" spans="1:19" s="46" customFormat="1">
      <c r="A162" s="47">
        <v>1</v>
      </c>
      <c r="B162" s="51" t="s">
        <v>161</v>
      </c>
      <c r="C162" s="51">
        <v>0</v>
      </c>
      <c r="D162" s="51">
        <v>0.44109247512529159</v>
      </c>
      <c r="E162" s="51">
        <v>0</v>
      </c>
      <c r="F162" s="47">
        <v>12153634</v>
      </c>
      <c r="G162" s="47">
        <v>1</v>
      </c>
      <c r="H162" s="51" t="s">
        <v>161</v>
      </c>
      <c r="I162" s="51">
        <v>0</v>
      </c>
      <c r="J162" s="51">
        <v>0.56301306554207264</v>
      </c>
      <c r="K162" s="51">
        <v>0</v>
      </c>
      <c r="L162" s="47">
        <v>12153634</v>
      </c>
      <c r="R162" s="206"/>
      <c r="S162" s="206"/>
    </row>
    <row r="163" spans="1:19" s="46" customFormat="1">
      <c r="A163" s="47">
        <v>2</v>
      </c>
      <c r="B163" s="51" t="s">
        <v>310</v>
      </c>
      <c r="C163" s="51">
        <v>0</v>
      </c>
      <c r="D163" s="51">
        <v>0.34483738991491908</v>
      </c>
      <c r="E163" s="51">
        <v>0</v>
      </c>
      <c r="F163" s="47">
        <v>553960</v>
      </c>
      <c r="G163" s="47">
        <v>2</v>
      </c>
      <c r="H163" s="51" t="s">
        <v>310</v>
      </c>
      <c r="I163" s="51">
        <v>0</v>
      </c>
      <c r="J163" s="51">
        <v>0.30732993530478614</v>
      </c>
      <c r="K163" s="51">
        <v>0</v>
      </c>
      <c r="L163" s="47">
        <v>553960</v>
      </c>
      <c r="N163" s="46" t="s">
        <v>272</v>
      </c>
      <c r="R163" s="206"/>
      <c r="S163" s="206"/>
    </row>
    <row r="164" spans="1:19" s="46" customFormat="1">
      <c r="A164" s="47">
        <v>3</v>
      </c>
      <c r="B164" s="51" t="s">
        <v>311</v>
      </c>
      <c r="C164" s="51">
        <v>0</v>
      </c>
      <c r="D164" s="51">
        <v>6.8253956184224071E-2</v>
      </c>
      <c r="E164" s="51">
        <v>0</v>
      </c>
      <c r="F164" s="47">
        <v>3689192</v>
      </c>
      <c r="G164" s="47">
        <v>3</v>
      </c>
      <c r="H164" s="51" t="s">
        <v>311</v>
      </c>
      <c r="I164" s="51">
        <v>0</v>
      </c>
      <c r="J164" s="51">
        <v>3.947986027631218E-2</v>
      </c>
      <c r="K164" s="51">
        <v>0</v>
      </c>
      <c r="L164" s="47">
        <v>3689192</v>
      </c>
      <c r="N164" s="46" t="s">
        <v>273</v>
      </c>
      <c r="R164" s="206"/>
      <c r="S164" s="206"/>
    </row>
    <row r="165" spans="1:19" s="46" customFormat="1">
      <c r="A165" s="47">
        <v>4</v>
      </c>
      <c r="B165" s="51" t="s">
        <v>165</v>
      </c>
      <c r="C165" s="51">
        <v>0</v>
      </c>
      <c r="D165" s="51">
        <v>5.0251065415058561E-2</v>
      </c>
      <c r="E165" s="51">
        <v>0</v>
      </c>
      <c r="F165" s="47">
        <v>1692097</v>
      </c>
      <c r="G165" s="47">
        <v>4</v>
      </c>
      <c r="H165" s="51" t="s">
        <v>165</v>
      </c>
      <c r="I165" s="51">
        <v>0</v>
      </c>
      <c r="J165" s="51">
        <v>3.093605866694888E-2</v>
      </c>
      <c r="K165" s="51">
        <v>0</v>
      </c>
      <c r="L165" s="47">
        <v>1692097</v>
      </c>
      <c r="R165" s="206"/>
      <c r="S165" s="206"/>
    </row>
    <row r="166" spans="1:19" s="46" customFormat="1">
      <c r="A166" s="47">
        <v>5</v>
      </c>
      <c r="B166" s="51" t="s">
        <v>312</v>
      </c>
      <c r="C166" s="51">
        <v>0</v>
      </c>
      <c r="D166" s="51">
        <v>0</v>
      </c>
      <c r="E166" s="51">
        <v>0</v>
      </c>
      <c r="F166" s="47">
        <v>2480382</v>
      </c>
      <c r="G166" s="47">
        <v>5</v>
      </c>
      <c r="H166" s="51" t="s">
        <v>313</v>
      </c>
      <c r="I166" s="51">
        <v>0</v>
      </c>
      <c r="J166" s="51">
        <v>1.8178765217451268E-2</v>
      </c>
      <c r="K166" s="51">
        <v>0</v>
      </c>
      <c r="L166" s="47">
        <v>11115023</v>
      </c>
      <c r="R166" s="206"/>
      <c r="S166" s="206"/>
    </row>
    <row r="167" spans="1:19" s="46" customFormat="1">
      <c r="A167" s="47">
        <v>6</v>
      </c>
      <c r="B167" s="51" t="s">
        <v>160</v>
      </c>
      <c r="C167" s="51">
        <v>0</v>
      </c>
      <c r="D167" s="51">
        <v>0</v>
      </c>
      <c r="E167" s="51">
        <v>0</v>
      </c>
      <c r="F167" s="47">
        <v>3050596</v>
      </c>
      <c r="G167" s="47">
        <v>6</v>
      </c>
      <c r="H167" s="51" t="s">
        <v>160</v>
      </c>
      <c r="I167" s="51">
        <v>0</v>
      </c>
      <c r="J167" s="51">
        <v>0</v>
      </c>
      <c r="K167" s="51">
        <v>0</v>
      </c>
      <c r="L167" s="47">
        <v>3050596</v>
      </c>
      <c r="R167" s="206"/>
      <c r="S167" s="206"/>
    </row>
    <row r="168" spans="1:19" s="46" customFormat="1">
      <c r="A168" s="47">
        <v>7</v>
      </c>
      <c r="B168" s="51" t="s">
        <v>157</v>
      </c>
      <c r="C168" s="51">
        <v>0</v>
      </c>
      <c r="D168" s="51">
        <v>0</v>
      </c>
      <c r="E168" s="51">
        <v>0</v>
      </c>
      <c r="F168" s="47">
        <v>8497745</v>
      </c>
      <c r="G168" s="47">
        <v>7</v>
      </c>
      <c r="H168" s="51" t="s">
        <v>169</v>
      </c>
      <c r="I168" s="51">
        <v>0</v>
      </c>
      <c r="J168" s="51">
        <v>0</v>
      </c>
      <c r="K168" s="51">
        <v>0</v>
      </c>
      <c r="L168" s="47">
        <v>7434864</v>
      </c>
      <c r="R168" s="206"/>
      <c r="S168" s="206"/>
    </row>
    <row r="169" spans="1:19" s="46" customFormat="1">
      <c r="A169" s="47">
        <v>8</v>
      </c>
      <c r="B169" s="51" t="s">
        <v>168</v>
      </c>
      <c r="C169" s="51">
        <v>0</v>
      </c>
      <c r="D169" s="51">
        <v>0</v>
      </c>
      <c r="E169" s="51">
        <v>0</v>
      </c>
      <c r="F169" s="47">
        <v>14393110</v>
      </c>
      <c r="G169" s="47">
        <v>8</v>
      </c>
      <c r="H169" s="51" t="s">
        <v>245</v>
      </c>
      <c r="I169" s="51">
        <v>0</v>
      </c>
      <c r="J169" s="51">
        <v>4.1062314992428739E-2</v>
      </c>
      <c r="K169" s="51">
        <v>0</v>
      </c>
      <c r="L169" s="47">
        <v>5920853</v>
      </c>
      <c r="R169" s="206"/>
      <c r="S169" s="206"/>
    </row>
    <row r="170" spans="1:19" s="46" customFormat="1">
      <c r="A170" s="47">
        <v>9</v>
      </c>
      <c r="B170" s="51" t="s">
        <v>245</v>
      </c>
      <c r="C170" s="51">
        <v>0</v>
      </c>
      <c r="D170" s="51">
        <v>6.4824006846966764E-2</v>
      </c>
      <c r="E170" s="51">
        <v>0</v>
      </c>
      <c r="F170" s="47">
        <v>5920853</v>
      </c>
      <c r="G170" s="47">
        <v>9</v>
      </c>
      <c r="H170" s="51"/>
      <c r="I170" s="51">
        <v>0</v>
      </c>
      <c r="J170" s="51">
        <v>0</v>
      </c>
      <c r="K170" s="51">
        <v>0</v>
      </c>
      <c r="L170" s="47">
        <v>3689192</v>
      </c>
      <c r="R170" s="206"/>
      <c r="S170" s="206"/>
    </row>
    <row r="171" spans="1:19" s="46" customFormat="1">
      <c r="A171" s="47">
        <v>10</v>
      </c>
      <c r="B171" s="51"/>
      <c r="C171" s="51">
        <v>0</v>
      </c>
      <c r="D171" s="51">
        <v>3.0741106513539996E-2</v>
      </c>
      <c r="E171" s="51">
        <v>0</v>
      </c>
      <c r="F171" s="47">
        <v>3689192</v>
      </c>
      <c r="G171" s="47">
        <v>10</v>
      </c>
      <c r="H171" s="51"/>
      <c r="I171" s="51">
        <v>0</v>
      </c>
      <c r="J171" s="51">
        <v>0</v>
      </c>
      <c r="K171" s="51">
        <v>0</v>
      </c>
      <c r="L171" s="47">
        <v>3689192</v>
      </c>
      <c r="R171" s="206"/>
      <c r="S171" s="206"/>
    </row>
    <row r="172" spans="1:19" s="46" customFormat="1">
      <c r="A172" s="47">
        <v>11</v>
      </c>
      <c r="B172" s="51"/>
      <c r="C172" s="51">
        <v>0</v>
      </c>
      <c r="D172" s="51">
        <v>3.0741106513539996E-2</v>
      </c>
      <c r="E172" s="51">
        <v>0</v>
      </c>
      <c r="F172" s="47">
        <v>3689192</v>
      </c>
      <c r="G172" s="47">
        <v>11</v>
      </c>
      <c r="H172" s="51"/>
      <c r="I172" s="51">
        <v>0</v>
      </c>
      <c r="J172" s="51">
        <v>0</v>
      </c>
      <c r="K172" s="51">
        <v>0</v>
      </c>
      <c r="L172" s="47">
        <v>3689192</v>
      </c>
      <c r="R172" s="206"/>
      <c r="S172" s="206"/>
    </row>
    <row r="173" spans="1:19" s="46" customFormat="1">
      <c r="A173" s="47">
        <v>12</v>
      </c>
      <c r="B173" s="51"/>
      <c r="C173" s="51">
        <v>0</v>
      </c>
      <c r="D173" s="51">
        <v>3.0741106513539996E-2</v>
      </c>
      <c r="E173" s="51">
        <v>0</v>
      </c>
      <c r="F173" s="47">
        <v>3689192</v>
      </c>
      <c r="G173" s="47">
        <v>12</v>
      </c>
      <c r="H173" s="51"/>
      <c r="I173" s="51">
        <v>0</v>
      </c>
      <c r="J173" s="51">
        <v>0</v>
      </c>
      <c r="K173" s="51">
        <v>0</v>
      </c>
      <c r="L173" s="47">
        <v>3689192</v>
      </c>
      <c r="R173" s="206"/>
      <c r="S173" s="206"/>
    </row>
    <row r="174" spans="1:19" s="46" customFormat="1">
      <c r="A174" s="47">
        <v>13</v>
      </c>
      <c r="B174" s="51"/>
      <c r="C174" s="51">
        <v>0</v>
      </c>
      <c r="D174" s="51">
        <v>3.0741106513539996E-2</v>
      </c>
      <c r="E174" s="51">
        <v>0</v>
      </c>
      <c r="F174" s="47">
        <v>3689192</v>
      </c>
      <c r="G174" s="47">
        <v>13</v>
      </c>
      <c r="H174" s="51"/>
      <c r="I174" s="51">
        <v>0</v>
      </c>
      <c r="J174" s="51">
        <v>0</v>
      </c>
      <c r="K174" s="51">
        <v>0</v>
      </c>
      <c r="L174" s="47">
        <v>3689192</v>
      </c>
      <c r="R174" s="206"/>
      <c r="S174" s="206"/>
    </row>
    <row r="175" spans="1:19" s="46" customFormat="1">
      <c r="A175" s="47">
        <v>14</v>
      </c>
      <c r="B175" s="51"/>
      <c r="C175" s="51">
        <v>0</v>
      </c>
      <c r="D175" s="51">
        <v>3.0741106513539996E-2</v>
      </c>
      <c r="E175" s="51">
        <v>0</v>
      </c>
      <c r="F175" s="47">
        <v>3689192</v>
      </c>
      <c r="G175" s="47">
        <v>14</v>
      </c>
      <c r="H175" s="51"/>
      <c r="I175" s="51">
        <v>0</v>
      </c>
      <c r="J175" s="51">
        <v>0</v>
      </c>
      <c r="K175" s="51">
        <v>0</v>
      </c>
      <c r="L175" s="47">
        <v>3689192</v>
      </c>
      <c r="R175" s="206"/>
      <c r="S175" s="206"/>
    </row>
    <row r="176" spans="1:19" s="46" customFormat="1">
      <c r="A176" s="47">
        <v>15</v>
      </c>
      <c r="B176" s="51"/>
      <c r="C176" s="51">
        <v>0</v>
      </c>
      <c r="D176" s="51">
        <v>3.0741106513539996E-2</v>
      </c>
      <c r="E176" s="51">
        <v>0</v>
      </c>
      <c r="F176" s="47">
        <v>3689192</v>
      </c>
      <c r="G176" s="47">
        <v>15</v>
      </c>
      <c r="H176" s="51"/>
      <c r="I176" s="51">
        <v>0</v>
      </c>
      <c r="J176" s="51">
        <v>0</v>
      </c>
      <c r="K176" s="51">
        <v>0</v>
      </c>
      <c r="L176" s="47">
        <v>3689192</v>
      </c>
      <c r="R176" s="206"/>
      <c r="S176" s="206"/>
    </row>
    <row r="177" spans="1:19" s="46" customFormat="1">
      <c r="A177" s="47">
        <v>16</v>
      </c>
      <c r="B177" s="51"/>
      <c r="C177" s="51">
        <v>0</v>
      </c>
      <c r="D177" s="51">
        <v>3.0741106513539996E-2</v>
      </c>
      <c r="E177" s="51">
        <v>0</v>
      </c>
      <c r="F177" s="47">
        <v>3689192</v>
      </c>
      <c r="G177" s="47">
        <v>16</v>
      </c>
      <c r="H177" s="51"/>
      <c r="I177" s="51">
        <v>0</v>
      </c>
      <c r="J177" s="51">
        <v>0</v>
      </c>
      <c r="K177" s="51">
        <v>0</v>
      </c>
      <c r="L177" s="47">
        <v>3689192</v>
      </c>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FB7FDF08-CC79-43AB-854B-EB2C27BFE5F2}">
      <formula1>$C$112:$C$113</formula1>
    </dataValidation>
  </dataValidations>
  <hyperlinks>
    <hyperlink ref="O1:P1" location="Home_page" display="Back to home page" xr:uid="{9B27989B-8486-474E-88D0-C8E62D571229}"/>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331A0027-1864-4529-B872-7D73330B16BB}">
          <x14:colorSeries rgb="FF323232"/>
          <x14:colorNegative rgb="FFD00000"/>
          <x14:colorAxis rgb="FF000000"/>
          <x14:colorMarkers rgb="FFD00000"/>
          <x14:colorFirst rgb="FFD00000"/>
          <x14:colorLast rgb="FFD00000"/>
          <x14:colorHigh rgb="FFD00000"/>
          <x14:colorLow rgb="FFD00000"/>
          <x14:sparklines>
            <x14:sparkline>
              <xm:f>'Area VIIb-k trawlers 24-40m'!D3:N3</xm:f>
              <xm:sqref>C3</xm:sqref>
            </x14:sparkline>
            <x14:sparkline>
              <xm:f>'Area VIIb-k trawlers 24-40m'!D4:N4</xm:f>
              <xm:sqref>C4</xm:sqref>
            </x14:sparkline>
            <x14:sparkline>
              <xm:f>'Area VIIb-k trawlers 24-40m'!D5:N5</xm:f>
              <xm:sqref>C5</xm:sqref>
            </x14:sparkline>
            <x14:sparkline>
              <xm:f>'Area VIIb-k trawlers 24-40m'!D6:N6</xm:f>
              <xm:sqref>C6</xm:sqref>
            </x14:sparkline>
            <x14:sparkline>
              <xm:f>'Area VIIb-k trawlers 24-40m'!D7:N7</xm:f>
              <xm:sqref>C7</xm:sqref>
            </x14:sparkline>
            <x14:sparkline>
              <xm:f>'Area VIIb-k trawlers 24-40m'!D8:N8</xm:f>
              <xm:sqref>C8</xm:sqref>
            </x14:sparkline>
            <x14:sparkline>
              <xm:f>'Area VIIb-k trawlers 24-40m'!D9:N9</xm:f>
              <xm:sqref>C9</xm:sqref>
            </x14:sparkline>
            <x14:sparkline>
              <xm:f>'Area VIIb-k trawlers 24-40m'!D10:N10</xm:f>
              <xm:sqref>C10</xm:sqref>
            </x14:sparkline>
            <x14:sparkline>
              <xm:f>'Area VIIb-k trawlers 24-40m'!D11:N11</xm:f>
              <xm:sqref>C11</xm:sqref>
            </x14:sparkline>
            <x14:sparkline>
              <xm:f>'Area VIIb-k trawlers 24-40m'!D12:N12</xm:f>
              <xm:sqref>C12</xm:sqref>
            </x14:sparkline>
            <x14:sparkline>
              <xm:f>'Area VIIb-k trawlers 24-40m'!D13:N13</xm:f>
              <xm:sqref>C13</xm:sqref>
            </x14:sparkline>
            <x14:sparkline>
              <xm:f>'Area VIIb-k trawlers 24-40m'!D14:N14</xm:f>
              <xm:sqref>C14</xm:sqref>
            </x14:sparkline>
            <x14:sparkline>
              <xm:f>'Area VIIb-k trawlers 24-40m'!D15:N15</xm:f>
              <xm:sqref>C15</xm:sqref>
            </x14:sparkline>
            <x14:sparkline>
              <xm:f>'Area VIIb-k trawlers 24-40m'!D16:N16</xm:f>
              <xm:sqref>C16</xm:sqref>
            </x14:sparkline>
            <x14:sparkline>
              <xm:f>'Area VIIb-k trawlers 24-40m'!D17:N17</xm:f>
              <xm:sqref>C17</xm:sqref>
            </x14:sparkline>
            <x14:sparkline>
              <xm:f>'Area VIIb-k trawlers 24-40m'!D18:N18</xm:f>
              <xm:sqref>C18</xm:sqref>
            </x14:sparkline>
            <x14:sparkline>
              <xm:f>'Area VIIb-k trawlers 24-40m'!D19:N19</xm:f>
              <xm:sqref>C19</xm:sqref>
            </x14:sparkline>
            <x14:sparkline>
              <xm:f>'Area VIIb-k trawlers 24-40m'!D20:N20</xm:f>
              <xm:sqref>C20</xm:sqref>
            </x14:sparkline>
            <x14:sparkline>
              <xm:f>'Area VIIb-k trawlers 24-40m'!D21:N21</xm:f>
              <xm:sqref>C21</xm:sqref>
            </x14:sparkline>
            <x14:sparkline>
              <xm:f>'Area VIIb-k trawlers 24-40m'!D22:N22</xm:f>
              <xm:sqref>C22</xm:sqref>
            </x14:sparkline>
            <x14:sparkline>
              <xm:f>'Area VIIb-k trawlers 24-40m'!D23:N23</xm:f>
              <xm:sqref>C23</xm:sqref>
            </x14:sparkline>
            <x14:sparkline>
              <xm:f>'Area VIIb-k trawlers 24-40m'!D24:N24</xm:f>
              <xm:sqref>C24</xm:sqref>
            </x14:sparkline>
            <x14:sparkline>
              <xm:f>'Area VIIb-k trawlers 24-40m'!D25:N25</xm:f>
              <xm:sqref>C25</xm:sqref>
            </x14:sparkline>
            <x14:sparkline>
              <xm:f>'Area VIIb-k trawlers 24-40m'!D26:N26</xm:f>
              <xm:sqref>C26</xm:sqref>
            </x14:sparkline>
            <x14:sparkline>
              <xm:f>'Area VIIb-k trawlers 24-40m'!D27:N27</xm:f>
              <xm:sqref>C27</xm:sqref>
            </x14:sparkline>
            <x14:sparkline>
              <xm:f>'Area VIIb-k trawlers 24-40m'!D28:N28</xm:f>
              <xm:sqref>C28</xm:sqref>
            </x14:sparkline>
            <x14:sparkline>
              <xm:f>'Area VIIb-k trawlers 24-40m'!D29:N29</xm:f>
              <xm:sqref>C29</xm:sqref>
            </x14:sparkline>
            <x14:sparkline>
              <xm:f>'Area VIIb-k trawlers 24-40m'!D30:N30</xm:f>
              <xm:sqref>C30</xm:sqref>
            </x14:sparkline>
            <x14:sparkline>
              <xm:f>'Area VIIb-k trawlers 24-40m'!D31:N31</xm:f>
              <xm:sqref>C31</xm:sqref>
            </x14:sparkline>
            <x14:sparkline>
              <xm:f>'Area VIIb-k trawlers 24-40m'!D32:N32</xm:f>
              <xm:sqref>C32</xm:sqref>
            </x14:sparkline>
            <x14:sparkline>
              <xm:f>'Area VIIb-k trawlers 24-40m'!D33:N33</xm:f>
              <xm:sqref>C33</xm:sqref>
            </x14:sparkline>
            <x14:sparkline>
              <xm:f>'Area VIIb-k trawlers 24-40m'!D34:N34</xm:f>
              <xm:sqref>C34</xm:sqref>
            </x14:sparkline>
            <x14:sparkline>
              <xm:f>'Area VIIb-k trawlers 24-40m'!D35:N35</xm:f>
              <xm:sqref>C35</xm:sqref>
            </x14:sparkline>
            <x14:sparkline>
              <xm:f>'Area VIIb-k trawlers 24-40m'!D36:N36</xm:f>
              <xm:sqref>C36</xm:sqref>
            </x14:sparkline>
            <x14:sparkline>
              <xm:f>'Area VIIb-k trawlers 24-40m'!D37:N37</xm:f>
              <xm:sqref>C37</xm:sqref>
            </x14:sparkline>
            <x14:sparkline>
              <xm:f>'Area VIIb-k trawlers 24-40m'!D38:N38</xm:f>
              <xm:sqref>C38</xm:sqref>
            </x14:sparkline>
            <x14:sparkline>
              <xm:f>'Area VIIb-k trawlers 24-40m'!D39:N39</xm:f>
              <xm:sqref>C39</xm:sqref>
            </x14:sparkline>
            <x14:sparkline>
              <xm:f>'Area VIIb-k trawlers 24-40m'!D40:N40</xm:f>
              <xm:sqref>C40</xm:sqref>
            </x14:sparkline>
            <x14:sparkline>
              <xm:f>'Area VIIb-k trawlers 24-40m'!D41:N41</xm:f>
              <xm:sqref>C41</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32B27-B0A6-4FD1-94E1-9051D34E29A4}">
  <sheetPr codeName="Feuil10">
    <pageSetUpPr fitToPage="1"/>
  </sheetPr>
  <dimension ref="A1:S192"/>
  <sheetViews>
    <sheetView topLeftCell="A40"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14</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62</v>
      </c>
      <c r="E3" s="27">
        <v>61</v>
      </c>
      <c r="F3" s="27">
        <v>60</v>
      </c>
      <c r="G3" s="27">
        <v>61</v>
      </c>
      <c r="H3" s="27">
        <v>65</v>
      </c>
      <c r="I3" s="27">
        <v>68</v>
      </c>
      <c r="J3" s="27">
        <v>63</v>
      </c>
      <c r="K3" s="27">
        <v>61</v>
      </c>
      <c r="L3" s="27">
        <v>59</v>
      </c>
      <c r="M3" s="27">
        <v>54</v>
      </c>
      <c r="N3" s="27">
        <v>48</v>
      </c>
      <c r="O3" s="28">
        <f t="shared" ref="O3:O41" si="0">IF(N3=0,"",IFERROR(IF(AND(N3&gt;0,D3&lt;0),"na",IF(AND(N3&lt;0,D3&lt;0),-1,1)*(N3-D3)/D3),""))</f>
        <v>-0.22580645161290322</v>
      </c>
      <c r="P3" s="28">
        <f t="shared" ref="P3:P41" si="1">IF(N3=0,"",IFERROR(IF(AND(N3&gt;0,J3&lt;0),"na",IF(AND(N3&lt;0,J3&lt;0),-1,1)*(N3-J3)/J3),""))</f>
        <v>-0.23809523809523808</v>
      </c>
      <c r="Q3" s="206"/>
    </row>
    <row r="4" spans="1:17" ht="18" customHeight="1">
      <c r="A4" s="172"/>
      <c r="B4" s="29" t="s">
        <v>184</v>
      </c>
      <c r="C4" s="30"/>
      <c r="D4" s="30">
        <v>11937</v>
      </c>
      <c r="E4" s="30">
        <v>11705</v>
      </c>
      <c r="F4" s="30">
        <v>12016</v>
      </c>
      <c r="G4" s="30">
        <v>11811</v>
      </c>
      <c r="H4" s="30">
        <v>12482</v>
      </c>
      <c r="I4" s="30">
        <v>13162</v>
      </c>
      <c r="J4" s="30">
        <v>12811</v>
      </c>
      <c r="K4" s="30">
        <v>11641</v>
      </c>
      <c r="L4" s="30">
        <v>11689</v>
      </c>
      <c r="M4" s="30">
        <v>10149</v>
      </c>
      <c r="N4" s="30">
        <v>10125</v>
      </c>
      <c r="O4" s="28">
        <f t="shared" si="0"/>
        <v>-0.1517969339029907</v>
      </c>
      <c r="P4" s="28">
        <f t="shared" si="1"/>
        <v>-0.20966357036921396</v>
      </c>
      <c r="Q4" s="206"/>
    </row>
    <row r="5" spans="1:17" ht="18" customHeight="1">
      <c r="A5" s="172"/>
      <c r="B5" s="29" t="s">
        <v>185</v>
      </c>
      <c r="C5" s="30"/>
      <c r="D5" s="30">
        <v>2220</v>
      </c>
      <c r="E5" s="30">
        <v>2151</v>
      </c>
      <c r="F5" s="30">
        <v>2312</v>
      </c>
      <c r="G5" s="30">
        <v>2332</v>
      </c>
      <c r="H5" s="30">
        <v>2182</v>
      </c>
      <c r="I5" s="30">
        <v>2189</v>
      </c>
      <c r="J5" s="30">
        <v>2235</v>
      </c>
      <c r="K5" s="30">
        <v>1880</v>
      </c>
      <c r="L5" s="30">
        <v>2084</v>
      </c>
      <c r="M5" s="30">
        <v>1711</v>
      </c>
      <c r="N5" s="30">
        <v>1661</v>
      </c>
      <c r="O5" s="28">
        <f t="shared" si="0"/>
        <v>-0.25180180180180178</v>
      </c>
      <c r="P5" s="28">
        <f t="shared" si="1"/>
        <v>-0.2568232662192394</v>
      </c>
      <c r="Q5" s="207"/>
    </row>
    <row r="6" spans="1:17" ht="18" customHeight="1">
      <c r="A6" s="172"/>
      <c r="B6" s="29" t="s">
        <v>186</v>
      </c>
      <c r="C6" s="30"/>
      <c r="D6" s="30">
        <v>9678.8310546875</v>
      </c>
      <c r="E6" s="30">
        <v>9463.888671875</v>
      </c>
      <c r="F6" s="30">
        <v>9653.83984375</v>
      </c>
      <c r="G6" s="30">
        <v>9643.0751953125</v>
      </c>
      <c r="H6" s="30">
        <v>10004.26171875</v>
      </c>
      <c r="I6" s="30">
        <v>10404.2978515625</v>
      </c>
      <c r="J6" s="30">
        <v>10006.4755859375</v>
      </c>
      <c r="K6" s="30">
        <v>9243.576171875</v>
      </c>
      <c r="L6" s="30">
        <v>9243.126953125</v>
      </c>
      <c r="M6" s="30">
        <v>8092.9033203125</v>
      </c>
      <c r="N6" s="30">
        <v>7856.4599609375</v>
      </c>
      <c r="O6" s="28">
        <f t="shared" si="0"/>
        <v>-0.18828421360525946</v>
      </c>
      <c r="P6" s="28">
        <f t="shared" si="1"/>
        <v>-0.21486242648925291</v>
      </c>
      <c r="Q6" s="206"/>
    </row>
    <row r="7" spans="1:17" ht="18" customHeight="1">
      <c r="A7" s="172"/>
      <c r="B7" s="29" t="s">
        <v>187</v>
      </c>
      <c r="C7" s="30"/>
      <c r="D7" s="30">
        <v>10392.62109375</v>
      </c>
      <c r="E7" s="30">
        <v>9473.67578125</v>
      </c>
      <c r="F7" s="30">
        <v>11317.41015625</v>
      </c>
      <c r="G7" s="30">
        <v>10007.3603515625</v>
      </c>
      <c r="H7" s="30">
        <v>9938.84375</v>
      </c>
      <c r="I7" s="30">
        <v>8740.443359375</v>
      </c>
      <c r="J7" s="30">
        <v>9578.2529296875</v>
      </c>
      <c r="K7" s="30">
        <v>8428.2880859375</v>
      </c>
      <c r="L7" s="30">
        <v>6787.98193359375</v>
      </c>
      <c r="M7" s="30">
        <v>5865.54296875</v>
      </c>
      <c r="N7" s="30">
        <v>4180.10986328125</v>
      </c>
      <c r="O7" s="28">
        <f t="shared" si="0"/>
        <v>-0.59778098079654618</v>
      </c>
      <c r="P7" s="28">
        <f t="shared" si="1"/>
        <v>-0.56358326576184592</v>
      </c>
      <c r="Q7" s="206"/>
    </row>
    <row r="8" spans="1:17" ht="18" customHeight="1">
      <c r="A8" s="172"/>
      <c r="B8" s="29" t="s">
        <v>188</v>
      </c>
      <c r="C8" s="31"/>
      <c r="D8" s="31">
        <f ca="1">15.997658*OFFSET(D$112,MATCH($N$1,$C$112:$C$113,0)-1,0)</f>
        <v>15.997657999999999</v>
      </c>
      <c r="E8" s="31">
        <f ca="1">17.136242*OFFSET(E$112,MATCH($N$1,$C$112:$C$113,0)-1,0)</f>
        <v>17.136241999999999</v>
      </c>
      <c r="F8" s="31">
        <f ca="1">17.847014*OFFSET(F$112,MATCH($N$1,$C$112:$C$113,0)-1,0)</f>
        <v>17.847014000000001</v>
      </c>
      <c r="G8" s="31">
        <f ca="1">17.04068*OFFSET(G$112,MATCH($N$1,$C$112:$C$113,0)-1,0)</f>
        <v>17.040679999999998</v>
      </c>
      <c r="H8" s="31">
        <f ca="1">17.922478*OFFSET(H$112,MATCH($N$1,$C$112:$C$113,0)-1,0)</f>
        <v>17.922478000000002</v>
      </c>
      <c r="I8" s="31">
        <f ca="1">16.370825*OFFSET(I$112,MATCH($N$1,$C$112:$C$113,0)-1,0)</f>
        <v>16.370825</v>
      </c>
      <c r="J8" s="31">
        <f ca="1">17.749954*OFFSET(J$112,MATCH($N$1,$C$112:$C$113,0)-1,0)</f>
        <v>17.749953999999999</v>
      </c>
      <c r="K8" s="31">
        <f ca="1">18.263348*OFFSET(K$112,MATCH($N$1,$C$112:$C$113,0)-1,0)</f>
        <v>18.263348000000001</v>
      </c>
      <c r="L8" s="31">
        <f ca="1">12.560323*OFFSET(L$112,MATCH($N$1,$C$112:$C$113,0)-1,0)</f>
        <v>12.560323</v>
      </c>
      <c r="M8" s="31">
        <f ca="1">12.182016*OFFSET(M$112,MATCH($N$1,$C$112:$C$113,0)-1,0)</f>
        <v>12.182016000000001</v>
      </c>
      <c r="N8" s="31">
        <v>7.2397644999999997</v>
      </c>
      <c r="O8" s="28">
        <f t="shared" ca="1" si="0"/>
        <v>-0.54744847652075068</v>
      </c>
      <c r="P8" s="28">
        <f t="shared" ca="1" si="1"/>
        <v>-0.59212488663350904</v>
      </c>
      <c r="Q8" s="206"/>
    </row>
    <row r="9" spans="1:17" ht="18" customHeight="1">
      <c r="A9" s="172"/>
      <c r="B9" s="29" t="s">
        <v>189</v>
      </c>
      <c r="C9" s="30"/>
      <c r="D9" s="30">
        <v>11122</v>
      </c>
      <c r="E9" s="30">
        <v>10389</v>
      </c>
      <c r="F9" s="30">
        <v>9836</v>
      </c>
      <c r="G9" s="30">
        <v>10085</v>
      </c>
      <c r="H9" s="30">
        <v>10615</v>
      </c>
      <c r="I9" s="30">
        <v>10163</v>
      </c>
      <c r="J9" s="30">
        <v>10701</v>
      </c>
      <c r="K9" s="30">
        <v>9853</v>
      </c>
      <c r="L9" s="30">
        <v>8567</v>
      </c>
      <c r="M9" s="30">
        <v>8076</v>
      </c>
      <c r="N9" s="30">
        <v>5735</v>
      </c>
      <c r="O9" s="28">
        <f t="shared" si="0"/>
        <v>-0.48435533177486062</v>
      </c>
      <c r="P9" s="28">
        <f t="shared" si="1"/>
        <v>-0.46406877861882068</v>
      </c>
      <c r="Q9" s="206"/>
    </row>
    <row r="10" spans="1:17" ht="18" customHeight="1">
      <c r="A10" s="172"/>
      <c r="B10" s="29" t="s">
        <v>190</v>
      </c>
      <c r="C10" s="30"/>
      <c r="D10" s="30">
        <v>252.91172790527344</v>
      </c>
      <c r="E10" s="30">
        <v>237.33657836914063</v>
      </c>
      <c r="F10" s="30">
        <v>262.4876708984375</v>
      </c>
      <c r="G10" s="30">
        <v>198.97654724121094</v>
      </c>
      <c r="H10" s="30">
        <v>202.34422302246094</v>
      </c>
      <c r="I10" s="30">
        <v>177.20175170898438</v>
      </c>
      <c r="J10" s="30">
        <v>225.43951416015625</v>
      </c>
      <c r="K10" s="30">
        <v>192.51533508300781</v>
      </c>
      <c r="L10" s="30">
        <v>178.82667541503906</v>
      </c>
      <c r="M10" s="30">
        <v>145.19821166992188</v>
      </c>
      <c r="N10" s="30">
        <v>93.924362182617188</v>
      </c>
      <c r="O10" s="32">
        <f t="shared" si="0"/>
        <v>-0.62862788941999559</v>
      </c>
      <c r="P10" s="32">
        <f t="shared" si="1"/>
        <v>-0.58337222943138689</v>
      </c>
      <c r="Q10" s="206"/>
    </row>
    <row r="11" spans="1:17" ht="18" customHeight="1">
      <c r="A11" s="173" t="s">
        <v>191</v>
      </c>
      <c r="B11" s="33" t="s">
        <v>192</v>
      </c>
      <c r="C11" s="34"/>
      <c r="D11" s="34">
        <v>13.445645332336426</v>
      </c>
      <c r="E11" s="34">
        <v>13.396557807922363</v>
      </c>
      <c r="F11" s="34">
        <v>13.61199951171875</v>
      </c>
      <c r="G11" s="34">
        <v>13.61983585357666</v>
      </c>
      <c r="H11" s="34">
        <v>13.229077339172363</v>
      </c>
      <c r="I11" s="34">
        <v>13.075588226318359</v>
      </c>
      <c r="J11" s="34">
        <v>13.191587448120117</v>
      </c>
      <c r="K11" s="34">
        <v>12.953934669494629</v>
      </c>
      <c r="L11" s="34">
        <v>13.153559684753418</v>
      </c>
      <c r="M11" s="34">
        <v>12.924629211425781</v>
      </c>
      <c r="N11" s="34">
        <v>13.174374580383301</v>
      </c>
      <c r="O11" s="28">
        <f t="shared" si="0"/>
        <v>-2.0175361259955737E-2</v>
      </c>
      <c r="P11" s="28">
        <f t="shared" si="1"/>
        <v>-1.3048367229881303E-3</v>
      </c>
      <c r="Q11" s="206"/>
    </row>
    <row r="12" spans="1:17" ht="18" customHeight="1">
      <c r="A12" s="174"/>
      <c r="B12" s="35" t="s">
        <v>184</v>
      </c>
      <c r="C12" s="30"/>
      <c r="D12" s="30">
        <v>192.53225708007813</v>
      </c>
      <c r="E12" s="30">
        <v>191.88523864746094</v>
      </c>
      <c r="F12" s="30">
        <v>200.26666259765625</v>
      </c>
      <c r="G12" s="30">
        <v>193.62295532226563</v>
      </c>
      <c r="H12" s="30">
        <v>192.03076171875</v>
      </c>
      <c r="I12" s="30">
        <v>193.55882263183594</v>
      </c>
      <c r="J12" s="30">
        <v>203.34921264648438</v>
      </c>
      <c r="K12" s="30">
        <v>190.8360595703125</v>
      </c>
      <c r="L12" s="30">
        <v>198.11863708496094</v>
      </c>
      <c r="M12" s="30">
        <v>187.94444274902344</v>
      </c>
      <c r="N12" s="30">
        <v>210.9375</v>
      </c>
      <c r="O12" s="28">
        <f t="shared" si="0"/>
        <v>9.5595632643867862E-2</v>
      </c>
      <c r="P12" s="28">
        <f t="shared" si="1"/>
        <v>3.7316531766993372E-2</v>
      </c>
      <c r="Q12" s="206"/>
    </row>
    <row r="13" spans="1:17" ht="18" customHeight="1">
      <c r="A13" s="174"/>
      <c r="B13" s="35" t="s">
        <v>185</v>
      </c>
      <c r="C13" s="30"/>
      <c r="D13" s="30">
        <v>35.806449890136719</v>
      </c>
      <c r="E13" s="30">
        <v>35.262294769287109</v>
      </c>
      <c r="F13" s="30">
        <v>38.533332824707031</v>
      </c>
      <c r="G13" s="30">
        <v>38.229507446289063</v>
      </c>
      <c r="H13" s="30">
        <v>33.569229125976563</v>
      </c>
      <c r="I13" s="30">
        <v>32.191177368164063</v>
      </c>
      <c r="J13" s="30">
        <v>35.476188659667969</v>
      </c>
      <c r="K13" s="30">
        <v>30.819671630859375</v>
      </c>
      <c r="L13" s="30">
        <v>35.322032928466797</v>
      </c>
      <c r="M13" s="30">
        <v>31.685184478759766</v>
      </c>
      <c r="N13" s="30">
        <v>34.604167938232422</v>
      </c>
      <c r="O13" s="28">
        <f t="shared" si="0"/>
        <v>-3.3577245317343754E-2</v>
      </c>
      <c r="P13" s="28">
        <f t="shared" si="1"/>
        <v>-2.4580451124585612E-2</v>
      </c>
      <c r="Q13" s="206"/>
    </row>
    <row r="14" spans="1:17" ht="18" customHeight="1">
      <c r="A14" s="174"/>
      <c r="B14" s="35" t="s">
        <v>186</v>
      </c>
      <c r="C14" s="30"/>
      <c r="D14" s="30">
        <v>156.11018371582031</v>
      </c>
      <c r="E14" s="30">
        <v>155.14570617675781</v>
      </c>
      <c r="F14" s="30">
        <v>160.89732360839844</v>
      </c>
      <c r="G14" s="30">
        <v>158.08319091796875</v>
      </c>
      <c r="H14" s="30">
        <v>153.91171264648438</v>
      </c>
      <c r="I14" s="30">
        <v>153.00437927246094</v>
      </c>
      <c r="J14" s="30">
        <v>158.83294677734375</v>
      </c>
      <c r="K14" s="30">
        <v>151.53402709960938</v>
      </c>
      <c r="L14" s="30">
        <v>156.66317749023438</v>
      </c>
      <c r="M14" s="30">
        <v>149.86857604980469</v>
      </c>
      <c r="N14" s="30">
        <v>163.67623901367188</v>
      </c>
      <c r="O14" s="28">
        <f t="shared" si="0"/>
        <v>4.8466122566511421E-2</v>
      </c>
      <c r="P14" s="28">
        <f t="shared" si="1"/>
        <v>3.0492994901854847E-2</v>
      </c>
      <c r="Q14" s="206"/>
    </row>
    <row r="15" spans="1:17" ht="18" customHeight="1">
      <c r="A15" s="174"/>
      <c r="B15" s="35" t="s">
        <v>187</v>
      </c>
      <c r="C15" s="31"/>
      <c r="D15" s="31">
        <v>167.6229248046875</v>
      </c>
      <c r="E15" s="31">
        <v>155.30616760253906</v>
      </c>
      <c r="F15" s="31">
        <v>188.62350463867188</v>
      </c>
      <c r="G15" s="31">
        <v>164.05508422851563</v>
      </c>
      <c r="H15" s="31">
        <v>152.90528869628906</v>
      </c>
      <c r="I15" s="31">
        <v>128.53593444824219</v>
      </c>
      <c r="J15" s="31">
        <v>152.03575134277344</v>
      </c>
      <c r="K15" s="31">
        <v>138.16865539550781</v>
      </c>
      <c r="L15" s="31">
        <v>115.05054473876953</v>
      </c>
      <c r="M15" s="31">
        <v>108.62117004394531</v>
      </c>
      <c r="N15" s="31">
        <v>87.085624694824219</v>
      </c>
      <c r="O15" s="28">
        <f t="shared" si="0"/>
        <v>-0.48046709722852354</v>
      </c>
      <c r="P15" s="28">
        <f t="shared" si="1"/>
        <v>-0.42720298399759532</v>
      </c>
      <c r="Q15" s="206"/>
    </row>
    <row r="16" spans="1:17" ht="18" customHeight="1">
      <c r="A16" s="174"/>
      <c r="B16" s="35" t="s">
        <v>193</v>
      </c>
      <c r="C16" s="31"/>
      <c r="D16" s="31">
        <f ca="1">258.02675*OFFSET(D$112,MATCH($N$1,$C$112:$C$113,0)-1,0)</f>
        <v>258.02674999999999</v>
      </c>
      <c r="E16" s="31">
        <f ca="1">280.922*OFFSET(E$112,MATCH($N$1,$C$112:$C$113,0)-1,0)</f>
        <v>280.92200000000003</v>
      </c>
      <c r="F16" s="31">
        <f ca="1">297.45025*OFFSET(F$112,MATCH($N$1,$C$112:$C$113,0)-1,0)</f>
        <v>297.45024999999998</v>
      </c>
      <c r="G16" s="31">
        <f ca="1">279.35540625*OFFSET(G$112,MATCH($N$1,$C$112:$C$113,0)-1,0)</f>
        <v>279.35540624999999</v>
      </c>
      <c r="H16" s="31">
        <f ca="1">275.7304375*OFFSET(H$112,MATCH($N$1,$C$112:$C$113,0)-1,0)</f>
        <v>275.73043749999999</v>
      </c>
      <c r="I16" s="31">
        <f ca="1">240.747421875*OFFSET(I$112,MATCH($N$1,$C$112:$C$113,0)-1,0)</f>
        <v>240.74742187499999</v>
      </c>
      <c r="J16" s="31">
        <f ca="1">281.7453125*OFFSET(J$112,MATCH($N$1,$C$112:$C$113,0)-1,0)</f>
        <v>281.74531250000001</v>
      </c>
      <c r="K16" s="31">
        <f ca="1">299.39915625*OFFSET(K$112,MATCH($N$1,$C$112:$C$113,0)-1,0)</f>
        <v>299.39915624999998</v>
      </c>
      <c r="L16" s="31">
        <f ca="1">212.886828125*OFFSET(L$112,MATCH($N$1,$C$112:$C$113,0)-1,0)</f>
        <v>212.88682812499999</v>
      </c>
      <c r="M16" s="31">
        <f ca="1">225.592890625*OFFSET(M$112,MATCH($N$1,$C$112:$C$113,0)-1,0)</f>
        <v>225.592890625</v>
      </c>
      <c r="N16" s="31">
        <v>150.828421875</v>
      </c>
      <c r="O16" s="28">
        <f t="shared" ca="1" si="0"/>
        <v>-0.41545432062760934</v>
      </c>
      <c r="P16" s="28">
        <f t="shared" ca="1" si="1"/>
        <v>-0.46466395292734464</v>
      </c>
      <c r="Q16" s="206"/>
    </row>
    <row r="17" spans="1:16" ht="18" customHeight="1">
      <c r="A17" s="174"/>
      <c r="B17" s="35" t="s">
        <v>189</v>
      </c>
      <c r="C17" s="30"/>
      <c r="D17" s="30">
        <v>179.38710021972656</v>
      </c>
      <c r="E17" s="30">
        <v>170.31147766113281</v>
      </c>
      <c r="F17" s="30">
        <v>163.93333435058594</v>
      </c>
      <c r="G17" s="30">
        <v>165.32786560058594</v>
      </c>
      <c r="H17" s="30">
        <v>163.30769348144531</v>
      </c>
      <c r="I17" s="30">
        <v>149.45588684082031</v>
      </c>
      <c r="J17" s="30">
        <v>169.85714721679688</v>
      </c>
      <c r="K17" s="30">
        <v>161.52459716796875</v>
      </c>
      <c r="L17" s="30">
        <v>145.20338439941406</v>
      </c>
      <c r="M17" s="30">
        <v>149.55555725097656</v>
      </c>
      <c r="N17" s="30">
        <v>119.47916412353516</v>
      </c>
      <c r="O17" s="28">
        <f t="shared" si="0"/>
        <v>-0.33395899717879235</v>
      </c>
      <c r="P17" s="28">
        <f t="shared" si="1"/>
        <v>-0.29659030496351069</v>
      </c>
    </row>
    <row r="18" spans="1:16" ht="18" customHeight="1">
      <c r="A18" s="174"/>
      <c r="B18" s="35" t="s">
        <v>194</v>
      </c>
      <c r="C18" s="30"/>
      <c r="D18" s="30">
        <v>23.919355392456055</v>
      </c>
      <c r="E18" s="30">
        <v>25.918033599853516</v>
      </c>
      <c r="F18" s="30">
        <v>26.549999237060547</v>
      </c>
      <c r="G18" s="30">
        <v>27.196722030639648</v>
      </c>
      <c r="H18" s="30">
        <v>26.492307662963867</v>
      </c>
      <c r="I18" s="30">
        <v>26.514705657958984</v>
      </c>
      <c r="J18" s="30">
        <v>25.761905670166016</v>
      </c>
      <c r="K18" s="30">
        <v>26.704917907714844</v>
      </c>
      <c r="L18" s="30">
        <v>27.762712478637695</v>
      </c>
      <c r="M18" s="30">
        <v>29.666666030883789</v>
      </c>
      <c r="N18" s="30">
        <v>28.1875</v>
      </c>
      <c r="O18" s="28">
        <f t="shared" si="0"/>
        <v>0.17843894776905564</v>
      </c>
      <c r="P18" s="28">
        <f t="shared" si="1"/>
        <v>9.4154305232278773E-2</v>
      </c>
    </row>
    <row r="19" spans="1:16" ht="18" customHeight="1">
      <c r="A19" s="174"/>
      <c r="B19" s="35" t="s">
        <v>195</v>
      </c>
      <c r="C19" s="36"/>
      <c r="D19" s="36">
        <v>0.93442016839981079</v>
      </c>
      <c r="E19" s="36">
        <v>0.91189491748809814</v>
      </c>
      <c r="F19" s="36">
        <v>1.1506110429763794</v>
      </c>
      <c r="G19" s="36">
        <v>0.99230146408081055</v>
      </c>
      <c r="H19" s="36">
        <v>0.9363018274307251</v>
      </c>
      <c r="I19" s="36">
        <v>0.86002588272094727</v>
      </c>
      <c r="J19" s="36">
        <v>0.8950800895690918</v>
      </c>
      <c r="K19" s="36">
        <v>0.85540318489074707</v>
      </c>
      <c r="L19" s="36">
        <v>0.79234063625335693</v>
      </c>
      <c r="M19" s="36">
        <v>0.72629308700561523</v>
      </c>
      <c r="N19" s="36">
        <v>0.72887706756591797</v>
      </c>
      <c r="O19" s="28">
        <f t="shared" si="0"/>
        <v>-0.21996860490060291</v>
      </c>
      <c r="P19" s="28">
        <f t="shared" si="1"/>
        <v>-0.18568508442991627</v>
      </c>
    </row>
    <row r="20" spans="1:16" ht="18" customHeight="1">
      <c r="A20" s="175"/>
      <c r="B20" s="37" t="s">
        <v>196</v>
      </c>
      <c r="C20" s="38"/>
      <c r="D20" s="38">
        <f ca="1">1539*OFFSET(D$112,MATCH($N$1,$C$112:$C$113,0)-1,0)</f>
        <v>1539</v>
      </c>
      <c r="E20" s="38">
        <f ca="1">1809*OFFSET(E$112,MATCH($N$1,$C$112:$C$113,0)-1,0)</f>
        <v>1809</v>
      </c>
      <c r="F20" s="38">
        <f ca="1">1577*OFFSET(F$112,MATCH($N$1,$C$112:$C$113,0)-1,0)</f>
        <v>1577</v>
      </c>
      <c r="G20" s="38">
        <f ca="1">1703*OFFSET(G$112,MATCH($N$1,$C$112:$C$113,0)-1,0)</f>
        <v>1703</v>
      </c>
      <c r="H20" s="38">
        <f ca="1">1803*OFFSET(H$112,MATCH($N$1,$C$112:$C$113,0)-1,0)</f>
        <v>1803</v>
      </c>
      <c r="I20" s="38">
        <f ca="1">1873*OFFSET(I$112,MATCH($N$1,$C$112:$C$113,0)-1,0)</f>
        <v>1873</v>
      </c>
      <c r="J20" s="38">
        <f ca="1">1853*OFFSET(J$112,MATCH($N$1,$C$112:$C$113,0)-1,0)</f>
        <v>1853</v>
      </c>
      <c r="K20" s="38">
        <f ca="1">2167*OFFSET(K$112,MATCH($N$1,$C$112:$C$113,0)-1,0)</f>
        <v>2167</v>
      </c>
      <c r="L20" s="38">
        <f ca="1">1850*OFFSET(L$112,MATCH($N$1,$C$112:$C$113,0)-1,0)</f>
        <v>1850</v>
      </c>
      <c r="M20" s="38">
        <f ca="1">2077*OFFSET(M$112,MATCH($N$1,$C$112:$C$113,0)-1,0)</f>
        <v>2077</v>
      </c>
      <c r="N20" s="38">
        <v>1732</v>
      </c>
      <c r="O20" s="32">
        <f t="shared" ca="1" si="0"/>
        <v>0.12540610786224821</v>
      </c>
      <c r="P20" s="32">
        <f t="shared" ca="1" si="1"/>
        <v>-6.5299514301133302E-2</v>
      </c>
    </row>
    <row r="21" spans="1:16" ht="18" customHeight="1">
      <c r="A21" s="176" t="s">
        <v>197</v>
      </c>
      <c r="B21" s="33" t="s">
        <v>198</v>
      </c>
      <c r="C21" s="39"/>
      <c r="D21" s="39">
        <v>4.6412227002209132</v>
      </c>
      <c r="E21" s="39">
        <v>4.5121917453542446</v>
      </c>
      <c r="F21" s="39">
        <v>5.4069471207733537</v>
      </c>
      <c r="G21" s="39">
        <v>4.8627880970355344</v>
      </c>
      <c r="H21" s="39">
        <v>4.6352351020909133</v>
      </c>
      <c r="I21" s="39">
        <v>4.1739023554721326</v>
      </c>
      <c r="J21" s="39">
        <v>4.1467510436355912</v>
      </c>
      <c r="K21" s="39">
        <v>4.2156214249006103</v>
      </c>
      <c r="L21" s="39">
        <v>3.684117105096433</v>
      </c>
      <c r="M21" s="39">
        <v>3.55266337535235</v>
      </c>
      <c r="N21" s="39">
        <v>3.5149837753251321</v>
      </c>
      <c r="O21" s="28">
        <f t="shared" si="0"/>
        <v>-0.24265996217810759</v>
      </c>
      <c r="P21" s="28">
        <f t="shared" si="1"/>
        <v>-0.15235235046967477</v>
      </c>
    </row>
    <row r="22" spans="1:16" ht="18" customHeight="1">
      <c r="A22" s="176"/>
      <c r="B22" s="35" t="s">
        <v>199</v>
      </c>
      <c r="C22" s="36"/>
      <c r="D22" s="36">
        <f ca="1">7.14436650451966*OFFSET(D$112,MATCH($N$1,$C$112:$C$113,0)-1,0)</f>
        <v>7.1443665045196596</v>
      </c>
      <c r="E22" s="36">
        <f ca="1">8.16177457119663*OFFSET(E$112,MATCH($N$1,$C$112:$C$113,0)-1,0)</f>
        <v>8.1617745711966307</v>
      </c>
      <c r="F22" s="36">
        <f ca="1">8.52649713985369*OFFSET(F$112,MATCH($N$1,$C$112:$C$113,0)-1,0)</f>
        <v>8.5264971398536904</v>
      </c>
      <c r="G22" s="36">
        <f ca="1">8.28042697209444*OFFSET(G$112,MATCH($N$1,$C$112:$C$113,0)-1,0)</f>
        <v>8.2804269720944408</v>
      </c>
      <c r="H22" s="36">
        <f ca="1">8.35860821762343*OFFSET(H$112,MATCH($N$1,$C$112:$C$113,0)-1,0)</f>
        <v>8.3586082176234306</v>
      </c>
      <c r="I22" s="36">
        <f ca="1">7.81770666352088*OFFSET(I$112,MATCH($N$1,$C$112:$C$113,0)-1,0)</f>
        <v>7.8177066635208803</v>
      </c>
      <c r="J22" s="36">
        <f ca="1">7.68455878522117*OFFSET(J$112,MATCH($N$1,$C$112:$C$113,0)-1,0)</f>
        <v>7.6845587852211699</v>
      </c>
      <c r="K22" s="36">
        <f ca="1">9.13487573626414*OFFSET(K$112,MATCH($N$1,$C$112:$C$113,0)-1,0)</f>
        <v>9.1348757362641404</v>
      </c>
      <c r="L22" s="36">
        <f ca="1">6.81700383710348*OFFSET(L$112,MATCH($N$1,$C$112:$C$113,0)-1,0)</f>
        <v>6.8170038371034796</v>
      </c>
      <c r="M22" s="36">
        <f ca="1">7.37844749728858*OFFSET(M$112,MATCH($N$1,$C$112:$C$113,0)-1,0)</f>
        <v>7.3784474972885796</v>
      </c>
      <c r="N22" s="36">
        <v>6.0877952889052231</v>
      </c>
      <c r="O22" s="28">
        <f t="shared" ca="1" si="0"/>
        <v>-0.14788871972707865</v>
      </c>
      <c r="P22" s="28">
        <f t="shared" ca="1" si="1"/>
        <v>-0.20778857198500697</v>
      </c>
    </row>
    <row r="23" spans="1:16" ht="18" customHeight="1">
      <c r="A23" s="176"/>
      <c r="B23" s="35" t="s">
        <v>154</v>
      </c>
      <c r="C23" s="36"/>
      <c r="D23" s="36">
        <f ca="1">5.73593909617688*OFFSET(D$112,MATCH($N$1,$C$112:$C$113,0)-1,0)</f>
        <v>5.7359390961768799</v>
      </c>
      <c r="E23" s="36">
        <f ca="1">7.84711175041478*OFFSET(E$112,MATCH($N$1,$C$112:$C$113,0)-1,0)</f>
        <v>7.84711175041478</v>
      </c>
      <c r="F23" s="36">
        <f ca="1">7.24853361934423*OFFSET(F$112,MATCH($N$1,$C$112:$C$113,0)-1,0)</f>
        <v>7.2485336193442302</v>
      </c>
      <c r="G23" s="36">
        <f ca="1">6.98460504126031*OFFSET(G$112,MATCH($N$1,$C$112:$C$113,0)-1,0)</f>
        <v>6.98460504126031</v>
      </c>
      <c r="H23" s="36">
        <f ca="1">6.45392068320887*OFFSET(H$112,MATCH($N$1,$C$112:$C$113,0)-1,0)</f>
        <v>6.45392068320887</v>
      </c>
      <c r="I23" s="36">
        <f ca="1">6.29721329805738*OFFSET(I$112,MATCH($N$1,$C$112:$C$113,0)-1,0)</f>
        <v>6.2972132980573798</v>
      </c>
      <c r="J23" s="36">
        <f ca="1">5.26969248894543*OFFSET(J$112,MATCH($N$1,$C$112:$C$113,0)-1,0)</f>
        <v>5.26969248894543</v>
      </c>
      <c r="K23" s="36">
        <f ca="1">6.54598214695404*OFFSET(K$112,MATCH($N$1,$C$112:$C$113,0)-1,0)</f>
        <v>6.5459821469540396</v>
      </c>
      <c r="L23" s="36">
        <f ca="1">5.63577643681238*OFFSET(L$112,MATCH($N$1,$C$112:$C$113,0)-1,0)</f>
        <v>5.6357764368123799</v>
      </c>
      <c r="M23" s="36">
        <f ca="1">6.0661103531312*OFFSET(M$112,MATCH($N$1,$C$112:$C$113,0)-1,0)</f>
        <v>6.0661103531312</v>
      </c>
      <c r="N23" s="36">
        <v>5.8847976247995977</v>
      </c>
      <c r="O23" s="28">
        <f t="shared" ca="1" si="0"/>
        <v>2.595190188158291E-2</v>
      </c>
      <c r="P23" s="28">
        <f t="shared" ca="1" si="1"/>
        <v>0.11672505314959326</v>
      </c>
    </row>
    <row r="24" spans="1:16" ht="18" customHeight="1">
      <c r="A24" s="176"/>
      <c r="B24" s="35" t="s">
        <v>155</v>
      </c>
      <c r="C24" s="36"/>
      <c r="D24" s="36">
        <f ca="1">1.67208618036985*OFFSET(D$112,MATCH($N$1,$C$112:$C$113,0)-1,0)</f>
        <v>1.6720861803698499</v>
      </c>
      <c r="E24" s="36">
        <f ca="1">0.314662820781851*OFFSET(E$112,MATCH($N$1,$C$112:$C$113,0)-1,0)</f>
        <v>0.31466282078185098</v>
      </c>
      <c r="F24" s="36">
        <f ca="1">1.6702405711917*OFFSET(F$112,MATCH($N$1,$C$112:$C$113,0)-1,0)</f>
        <v>1.6702405711917001</v>
      </c>
      <c r="G24" s="36">
        <f ca="1">1.39415744335464*OFFSET(G$112,MATCH($N$1,$C$112:$C$113,0)-1,0)</f>
        <v>1.39415744335464</v>
      </c>
      <c r="H24" s="36">
        <f ca="1">1.98442028290459*OFFSET(H$112,MATCH($N$1,$C$112:$C$113,0)-1,0)</f>
        <v>1.98442028290459</v>
      </c>
      <c r="I24" s="36">
        <f ca="1">1.74213227974807*OFFSET(I$112,MATCH($N$1,$C$112:$C$113,0)-1,0)</f>
        <v>1.7421322797480701</v>
      </c>
      <c r="J24" s="36">
        <f ca="1">2.53801201989487*OFFSET(J$112,MATCH($N$1,$C$112:$C$113,0)-1,0)</f>
        <v>2.5380120198948699</v>
      </c>
      <c r="K24" s="36">
        <f ca="1">2.79217581882178*OFFSET(K$112,MATCH($N$1,$C$112:$C$113,0)-1,0)</f>
        <v>2.79217581882178</v>
      </c>
      <c r="L24" s="36">
        <f ca="1">1.67634077221395*OFFSET(L$112,MATCH($N$1,$C$112:$C$113,0)-1,0)</f>
        <v>1.6763407722139501</v>
      </c>
      <c r="M24" s="36">
        <f ca="1">1.75699975891426*OFFSET(M$112,MATCH($N$1,$C$112:$C$113,0)-1,0)</f>
        <v>1.7569997589142601</v>
      </c>
      <c r="N24" s="36">
        <v>0.96654297013727231</v>
      </c>
      <c r="O24" s="28">
        <f t="shared" ca="1" si="0"/>
        <v>-0.42195385531893936</v>
      </c>
      <c r="P24" s="28">
        <f t="shared" ca="1" si="1"/>
        <v>-0.61917321015000215</v>
      </c>
    </row>
    <row r="25" spans="1:16" ht="18" customHeight="1">
      <c r="A25" s="176"/>
      <c r="B25" s="35" t="s">
        <v>200</v>
      </c>
      <c r="C25" s="31"/>
      <c r="D25" s="31">
        <f ca="1">63.25*OFFSET(D$112,MATCH($N$1,$C$112:$C$113,0)-1,0)</f>
        <v>63.25</v>
      </c>
      <c r="E25" s="31">
        <f ca="1">72.2*OFFSET(E$112,MATCH($N$1,$C$112:$C$113,0)-1,0)</f>
        <v>72.2</v>
      </c>
      <c r="F25" s="31">
        <f ca="1">68*OFFSET(F$112,MATCH($N$1,$C$112:$C$113,0)-1,0)</f>
        <v>68</v>
      </c>
      <c r="G25" s="31">
        <f ca="1">85.66*OFFSET(G$112,MATCH($N$1,$C$112:$C$113,0)-1,0)</f>
        <v>85.66</v>
      </c>
      <c r="H25" s="31">
        <f ca="1">88.56*OFFSET(H$112,MATCH($N$1,$C$112:$C$113,0)-1,0)</f>
        <v>88.56</v>
      </c>
      <c r="I25" s="31">
        <f ca="1">92.37*OFFSET(I$112,MATCH($N$1,$C$112:$C$113,0)-1,0)</f>
        <v>92.37</v>
      </c>
      <c r="J25" s="31">
        <f ca="1">78.72*OFFSET(J$112,MATCH($N$1,$C$112:$C$113,0)-1,0)</f>
        <v>78.72</v>
      </c>
      <c r="K25" s="31">
        <f ca="1">94.87*OFFSET(K$112,MATCH($N$1,$C$112:$C$113,0)-1,0)</f>
        <v>94.87</v>
      </c>
      <c r="L25" s="31">
        <f ca="1">70.24*OFFSET(L$112,MATCH($N$1,$C$112:$C$113,0)-1,0)</f>
        <v>70.239999999999995</v>
      </c>
      <c r="M25" s="31">
        <f ca="1">83.9*OFFSET(M$112,MATCH($N$1,$C$112:$C$113,0)-1,0)</f>
        <v>83.9</v>
      </c>
      <c r="N25" s="31">
        <v>77.069999999999993</v>
      </c>
      <c r="O25" s="28">
        <f t="shared" ca="1" si="0"/>
        <v>0.21849802371541491</v>
      </c>
      <c r="P25" s="28">
        <f t="shared" ca="1" si="1"/>
        <v>-2.0960365853658611E-2</v>
      </c>
    </row>
    <row r="26" spans="1:16" ht="18" customHeight="1">
      <c r="A26" s="177"/>
      <c r="B26" s="35" t="s">
        <v>201</v>
      </c>
      <c r="C26" s="31"/>
      <c r="D26" s="31">
        <f ca="1">14.81*OFFSET(D$112,MATCH($N$1,$C$112:$C$113,0)-1,0)</f>
        <v>14.81</v>
      </c>
      <c r="E26" s="31">
        <f ca="1">2.78*OFFSET(E$112,MATCH($N$1,$C$112:$C$113,0)-1,0)</f>
        <v>2.78</v>
      </c>
      <c r="F26" s="31">
        <f ca="1">13.33*OFFSET(F$112,MATCH($N$1,$C$112:$C$113,0)-1,0)</f>
        <v>13.33</v>
      </c>
      <c r="G26" s="31">
        <f ca="1">14.41*OFFSET(G$112,MATCH($N$1,$C$112:$C$113,0)-1,0)</f>
        <v>14.41</v>
      </c>
      <c r="H26" s="31">
        <f ca="1">21.04*OFFSET(H$112,MATCH($N$1,$C$112:$C$113,0)-1,0)</f>
        <v>21.04</v>
      </c>
      <c r="I26" s="31">
        <f ca="1">20.57*OFFSET(I$112,MATCH($N$1,$C$112:$C$113,0)-1,0)</f>
        <v>20.57</v>
      </c>
      <c r="J26" s="31">
        <f ca="1">26.02*OFFSET(J$112,MATCH($N$1,$C$112:$C$113,0)-1,0)</f>
        <v>26.02</v>
      </c>
      <c r="K26" s="31">
        <f ca="1">28.99*OFFSET(K$112,MATCH($N$1,$C$112:$C$113,0)-1,0)</f>
        <v>28.99</v>
      </c>
      <c r="L26" s="31">
        <f ca="1">17.29*OFFSET(L$112,MATCH($N$1,$C$112:$C$113,0)-1,0)</f>
        <v>17.29</v>
      </c>
      <c r="M26" s="31">
        <f ca="1">19.97*OFFSET(M$112,MATCH($N$1,$C$112:$C$113,0)-1,0)</f>
        <v>19.97</v>
      </c>
      <c r="N26" s="31">
        <v>12.21</v>
      </c>
      <c r="O26" s="32">
        <f t="shared" ca="1" si="0"/>
        <v>-0.175557056043214</v>
      </c>
      <c r="P26" s="32">
        <f t="shared" ca="1" si="1"/>
        <v>-0.53074558032282859</v>
      </c>
    </row>
    <row r="27" spans="1:16" ht="18" customHeight="1">
      <c r="A27" s="166" t="s">
        <v>202</v>
      </c>
      <c r="B27" s="33" t="s">
        <v>193</v>
      </c>
      <c r="C27" s="34"/>
      <c r="D27" s="34">
        <f ca="1">258*OFFSET(D$112,MATCH($N$1,$C$112:$C$113,0)-1,0)</f>
        <v>258</v>
      </c>
      <c r="E27" s="34">
        <f ca="1">280.9*OFFSET(E$112,MATCH($N$1,$C$112:$C$113,0)-1,0)</f>
        <v>280.89999999999998</v>
      </c>
      <c r="F27" s="34">
        <f ca="1">297.5*OFFSET(F$112,MATCH($N$1,$C$112:$C$113,0)-1,0)</f>
        <v>297.5</v>
      </c>
      <c r="G27" s="34">
        <f ca="1">279.4*OFFSET(G$112,MATCH($N$1,$C$112:$C$113,0)-1,0)</f>
        <v>279.39999999999998</v>
      </c>
      <c r="H27" s="34">
        <f ca="1">275.7*OFFSET(H$112,MATCH($N$1,$C$112:$C$113,0)-1,0)</f>
        <v>275.7</v>
      </c>
      <c r="I27" s="34">
        <f ca="1">240.7*OFFSET(I$112,MATCH($N$1,$C$112:$C$113,0)-1,0)</f>
        <v>240.7</v>
      </c>
      <c r="J27" s="34">
        <f ca="1">281.7*OFFSET(J$112,MATCH($N$1,$C$112:$C$113,0)-1,0)</f>
        <v>281.7</v>
      </c>
      <c r="K27" s="34">
        <f ca="1">299.4*OFFSET(K$112,MATCH($N$1,$C$112:$C$113,0)-1,0)</f>
        <v>299.39999999999998</v>
      </c>
      <c r="L27" s="34">
        <f ca="1">212.9*OFFSET(L$112,MATCH($N$1,$C$112:$C$113,0)-1,0)</f>
        <v>212.9</v>
      </c>
      <c r="M27" s="34">
        <f ca="1">225.6*OFFSET(M$112,MATCH($N$1,$C$112:$C$113,0)-1,0)</f>
        <v>225.6</v>
      </c>
      <c r="N27" s="34">
        <v>150.80000000000001</v>
      </c>
      <c r="O27" s="28">
        <f t="shared" ca="1" si="0"/>
        <v>-0.41550387596899219</v>
      </c>
      <c r="P27" s="28">
        <f t="shared" ca="1" si="1"/>
        <v>-0.46467873624423139</v>
      </c>
    </row>
    <row r="28" spans="1:16" ht="18" customHeight="1">
      <c r="A28" s="178"/>
      <c r="B28" s="35" t="s">
        <v>203</v>
      </c>
      <c r="C28" s="31"/>
      <c r="D28" s="31">
        <f ca="1">9.5*OFFSET(D$112,MATCH($N$1,$C$112:$C$113,0)-1,0)</f>
        <v>9.5</v>
      </c>
      <c r="E28" s="31"/>
      <c r="F28" s="31">
        <f ca="1">13.7*OFFSET(F$112,MATCH($N$1,$C$112:$C$113,0)-1,0)</f>
        <v>13.7</v>
      </c>
      <c r="G28" s="31">
        <f ca="1">3.3*OFFSET(G$112,MATCH($N$1,$C$112:$C$113,0)-1,0)</f>
        <v>3.3</v>
      </c>
      <c r="H28" s="31">
        <f ca="1">2.6*OFFSET(H$112,MATCH($N$1,$C$112:$C$113,0)-1,0)</f>
        <v>2.6</v>
      </c>
      <c r="I28" s="31">
        <f ca="1">6.8*OFFSET(I$112,MATCH($N$1,$C$112:$C$113,0)-1,0)</f>
        <v>6.8</v>
      </c>
      <c r="J28" s="31">
        <f ca="1">4.5*OFFSET(J$112,MATCH($N$1,$C$112:$C$113,0)-1,0)</f>
        <v>4.5</v>
      </c>
      <c r="K28" s="31">
        <f ca="1">6.7*OFFSET(K$112,MATCH($N$1,$C$112:$C$113,0)-1,0)</f>
        <v>6.7</v>
      </c>
      <c r="L28" s="31">
        <f ca="1">15.5*OFFSET(L$112,MATCH($N$1,$C$112:$C$113,0)-1,0)</f>
        <v>15.5</v>
      </c>
      <c r="M28" s="31">
        <f ca="1">13.6*OFFSET(M$112,MATCH($N$1,$C$112:$C$113,0)-1,0)</f>
        <v>13.6</v>
      </c>
      <c r="N28" s="31">
        <v>18.900000000000002</v>
      </c>
      <c r="O28" s="28">
        <f t="shared" ca="1" si="0"/>
        <v>0.98947368421052651</v>
      </c>
      <c r="P28" s="28">
        <f t="shared" ca="1" si="1"/>
        <v>3.2000000000000006</v>
      </c>
    </row>
    <row r="29" spans="1:16" ht="18" customHeight="1">
      <c r="A29" s="178"/>
      <c r="B29" s="40" t="s">
        <v>204</v>
      </c>
      <c r="C29" s="41"/>
      <c r="D29" s="41">
        <f ca="1">267.5*OFFSET(D$112,MATCH($N$1,$C$112:$C$113,0)-1,0)</f>
        <v>267.5</v>
      </c>
      <c r="E29" s="41">
        <f ca="1">280.9*OFFSET(E$112,MATCH($N$1,$C$112:$C$113,0)-1,0)</f>
        <v>280.89999999999998</v>
      </c>
      <c r="F29" s="41">
        <f ca="1">311.1*OFFSET(F$112,MATCH($N$1,$C$112:$C$113,0)-1,0)</f>
        <v>311.10000000000002</v>
      </c>
      <c r="G29" s="41">
        <f ca="1">282.7*OFFSET(G$112,MATCH($N$1,$C$112:$C$113,0)-1,0)</f>
        <v>282.7</v>
      </c>
      <c r="H29" s="41">
        <f ca="1">278.4*OFFSET(H$112,MATCH($N$1,$C$112:$C$113,0)-1,0)</f>
        <v>278.39999999999998</v>
      </c>
      <c r="I29" s="41">
        <f ca="1">247.6*OFFSET(I$112,MATCH($N$1,$C$112:$C$113,0)-1,0)</f>
        <v>247.6</v>
      </c>
      <c r="J29" s="41">
        <f ca="1">286.3*OFFSET(J$112,MATCH($N$1,$C$112:$C$113,0)-1,0)</f>
        <v>286.3</v>
      </c>
      <c r="K29" s="41">
        <f ca="1">306.1*OFFSET(K$112,MATCH($N$1,$C$112:$C$113,0)-1,0)</f>
        <v>306.10000000000002</v>
      </c>
      <c r="L29" s="41">
        <f ca="1">228.3*OFFSET(L$112,MATCH($N$1,$C$112:$C$113,0)-1,0)</f>
        <v>228.3</v>
      </c>
      <c r="M29" s="41">
        <f ca="1">239.2*OFFSET(M$112,MATCH($N$1,$C$112:$C$113,0)-1,0)</f>
        <v>239.2</v>
      </c>
      <c r="N29" s="41">
        <v>169.70000000000002</v>
      </c>
      <c r="O29" s="28">
        <f t="shared" ca="1" si="0"/>
        <v>-0.36560747663551396</v>
      </c>
      <c r="P29" s="28">
        <f t="shared" ca="1" si="1"/>
        <v>-0.40726510653161019</v>
      </c>
    </row>
    <row r="30" spans="1:16" ht="18" customHeight="1">
      <c r="A30" s="178"/>
      <c r="B30" s="35" t="s">
        <v>205</v>
      </c>
      <c r="C30" s="31"/>
      <c r="D30" s="31">
        <f ca="1">41.7*OFFSET(D$112,MATCH($N$1,$C$112:$C$113,0)-1,0)</f>
        <v>41.7</v>
      </c>
      <c r="E30" s="31">
        <f ca="1">51.2*OFFSET(E$112,MATCH($N$1,$C$112:$C$113,0)-1,0)</f>
        <v>51.2</v>
      </c>
      <c r="F30" s="31">
        <f ca="1">50.6*OFFSET(F$112,MATCH($N$1,$C$112:$C$113,0)-1,0)</f>
        <v>50.6</v>
      </c>
      <c r="G30" s="31">
        <f ca="1">49*OFFSET(G$112,MATCH($N$1,$C$112:$C$113,0)-1,0)</f>
        <v>49</v>
      </c>
      <c r="H30" s="31">
        <f ca="1">43.2*OFFSET(H$112,MATCH($N$1,$C$112:$C$113,0)-1,0)</f>
        <v>43.2</v>
      </c>
      <c r="I30" s="31">
        <f ca="1">27.9*OFFSET(I$112,MATCH($N$1,$C$112:$C$113,0)-1,0)</f>
        <v>27.9</v>
      </c>
      <c r="J30" s="31">
        <f ca="1">29.2*OFFSET(J$112,MATCH($N$1,$C$112:$C$113,0)-1,0)</f>
        <v>29.2</v>
      </c>
      <c r="K30" s="31">
        <f ca="1">33.6*OFFSET(K$112,MATCH($N$1,$C$112:$C$113,0)-1,0)</f>
        <v>33.6</v>
      </c>
      <c r="L30" s="31">
        <f ca="1">35.8*OFFSET(L$112,MATCH($N$1,$C$112:$C$113,0)-1,0)</f>
        <v>35.799999999999997</v>
      </c>
      <c r="M30" s="31">
        <f ca="1">35.3*OFFSET(M$112,MATCH($N$1,$C$112:$C$113,0)-1,0)</f>
        <v>35.299999999999997</v>
      </c>
      <c r="N30" s="31">
        <v>21.1</v>
      </c>
      <c r="O30" s="28">
        <f t="shared" ca="1" si="0"/>
        <v>-0.49400479616306953</v>
      </c>
      <c r="P30" s="28">
        <f t="shared" ca="1" si="1"/>
        <v>-0.27739726027397255</v>
      </c>
    </row>
    <row r="31" spans="1:16" ht="18" customHeight="1">
      <c r="A31" s="178"/>
      <c r="B31" s="35" t="s">
        <v>206</v>
      </c>
      <c r="C31" s="31"/>
      <c r="D31" s="31">
        <f ca="1">59.5*OFFSET(D$112,MATCH($N$1,$C$112:$C$113,0)-1,0)</f>
        <v>59.5</v>
      </c>
      <c r="E31" s="31">
        <f ca="1">84.7*OFFSET(E$112,MATCH($N$1,$C$112:$C$113,0)-1,0)</f>
        <v>84.7</v>
      </c>
      <c r="F31" s="31">
        <f ca="1">75.5*OFFSET(F$112,MATCH($N$1,$C$112:$C$113,0)-1,0)</f>
        <v>75.5</v>
      </c>
      <c r="G31" s="31">
        <f ca="1">68.8*OFFSET(G$112,MATCH($N$1,$C$112:$C$113,0)-1,0)</f>
        <v>68.8</v>
      </c>
      <c r="H31" s="31">
        <f ca="1">55.6*OFFSET(H$112,MATCH($N$1,$C$112:$C$113,0)-1,0)</f>
        <v>55.6</v>
      </c>
      <c r="I31" s="31">
        <f ca="1">53.8*OFFSET(I$112,MATCH($N$1,$C$112:$C$113,0)-1,0)</f>
        <v>53.8</v>
      </c>
      <c r="J31" s="31">
        <f ca="1">58.7*OFFSET(J$112,MATCH($N$1,$C$112:$C$113,0)-1,0)</f>
        <v>58.7</v>
      </c>
      <c r="K31" s="31">
        <f ca="1">67.5*OFFSET(K$112,MATCH($N$1,$C$112:$C$113,0)-1,0)</f>
        <v>67.5</v>
      </c>
      <c r="L31" s="31">
        <f ca="1">58*OFFSET(L$112,MATCH($N$1,$C$112:$C$113,0)-1,0)</f>
        <v>58</v>
      </c>
      <c r="M31" s="31">
        <f ca="1">50.4*OFFSET(M$112,MATCH($N$1,$C$112:$C$113,0)-1,0)</f>
        <v>50.4</v>
      </c>
      <c r="N31" s="31">
        <v>34.5</v>
      </c>
      <c r="O31" s="28">
        <f t="shared" ca="1" si="0"/>
        <v>-0.42016806722689076</v>
      </c>
      <c r="P31" s="28">
        <f t="shared" ca="1" si="1"/>
        <v>-0.41226575809199323</v>
      </c>
    </row>
    <row r="32" spans="1:16" ht="18" customHeight="1">
      <c r="A32" s="178"/>
      <c r="B32" s="35" t="s">
        <v>207</v>
      </c>
      <c r="C32" s="31"/>
      <c r="D32" s="31">
        <f ca="1">48.7*OFFSET(D$112,MATCH($N$1,$C$112:$C$113,0)-1,0)</f>
        <v>48.7</v>
      </c>
      <c r="E32" s="31">
        <f ca="1">93*OFFSET(E$112,MATCH($N$1,$C$112:$C$113,0)-1,0)</f>
        <v>93</v>
      </c>
      <c r="F32" s="31">
        <f ca="1">54.3*OFFSET(F$112,MATCH($N$1,$C$112:$C$113,0)-1,0)</f>
        <v>54.3</v>
      </c>
      <c r="G32" s="31">
        <f ca="1">74.1*OFFSET(G$112,MATCH($N$1,$C$112:$C$113,0)-1,0)</f>
        <v>74.099999999999994</v>
      </c>
      <c r="H32" s="31">
        <f ca="1">76*OFFSET(H$112,MATCH($N$1,$C$112:$C$113,0)-1,0)</f>
        <v>76</v>
      </c>
      <c r="I32" s="31">
        <f ca="1">50.3*OFFSET(I$112,MATCH($N$1,$C$112:$C$113,0)-1,0)</f>
        <v>50.3</v>
      </c>
      <c r="J32" s="31">
        <f ca="1">59.4*OFFSET(J$112,MATCH($N$1,$C$112:$C$113,0)-1,0)</f>
        <v>59.4</v>
      </c>
      <c r="K32" s="31">
        <f ca="1">37.1*OFFSET(K$112,MATCH($N$1,$C$112:$C$113,0)-1,0)</f>
        <v>37.1</v>
      </c>
      <c r="L32" s="31">
        <f ca="1">28.9*OFFSET(L$112,MATCH($N$1,$C$112:$C$113,0)-1,0)</f>
        <v>28.9</v>
      </c>
      <c r="M32" s="31">
        <f ca="1">27.1*OFFSET(M$112,MATCH($N$1,$C$112:$C$113,0)-1,0)</f>
        <v>27.1</v>
      </c>
      <c r="N32" s="31">
        <v>18.100000000000001</v>
      </c>
      <c r="O32" s="28">
        <f t="shared" ca="1" si="0"/>
        <v>-0.62833675564681724</v>
      </c>
      <c r="P32" s="28">
        <f t="shared" ca="1" si="1"/>
        <v>-0.69528619528619529</v>
      </c>
    </row>
    <row r="33" spans="1:16" ht="18" customHeight="1">
      <c r="A33" s="178"/>
      <c r="B33" s="35" t="s">
        <v>208</v>
      </c>
      <c r="C33" s="31"/>
      <c r="D33" s="31">
        <f ca="1">149.9*OFFSET(D$112,MATCH($N$1,$C$112:$C$113,0)-1,0)</f>
        <v>149.9</v>
      </c>
      <c r="E33" s="31">
        <f ca="1">229*OFFSET(E$112,MATCH($N$1,$C$112:$C$113,0)-1,0)</f>
        <v>229</v>
      </c>
      <c r="F33" s="31">
        <f ca="1">180.3*OFFSET(F$112,MATCH($N$1,$C$112:$C$113,0)-1,0)</f>
        <v>180.3</v>
      </c>
      <c r="G33" s="31">
        <f ca="1">191.9*OFFSET(G$112,MATCH($N$1,$C$112:$C$113,0)-1,0)</f>
        <v>191.9</v>
      </c>
      <c r="H33" s="31">
        <f ca="1">174.8*OFFSET(H$112,MATCH($N$1,$C$112:$C$113,0)-1,0)</f>
        <v>174.8</v>
      </c>
      <c r="I33" s="31">
        <f ca="1">131.9*OFFSET(I$112,MATCH($N$1,$C$112:$C$113,0)-1,0)</f>
        <v>131.9</v>
      </c>
      <c r="J33" s="31">
        <f ca="1">147.4*OFFSET(J$112,MATCH($N$1,$C$112:$C$113,0)-1,0)</f>
        <v>147.4</v>
      </c>
      <c r="K33" s="31">
        <f ca="1">138.2*OFFSET(K$112,MATCH($N$1,$C$112:$C$113,0)-1,0)</f>
        <v>138.19999999999999</v>
      </c>
      <c r="L33" s="31">
        <f ca="1">122.7*OFFSET(L$112,MATCH($N$1,$C$112:$C$113,0)-1,0)</f>
        <v>122.7</v>
      </c>
      <c r="M33" s="31">
        <f ca="1">112.7*OFFSET(M$112,MATCH($N$1,$C$112:$C$113,0)-1,0)</f>
        <v>112.7</v>
      </c>
      <c r="N33" s="31">
        <v>73.600000000000009</v>
      </c>
      <c r="O33" s="28">
        <f t="shared" ca="1" si="0"/>
        <v>-0.50900600400266838</v>
      </c>
      <c r="P33" s="28">
        <f t="shared" ca="1" si="1"/>
        <v>-0.50067842605156032</v>
      </c>
    </row>
    <row r="34" spans="1:16" ht="18" customHeight="1">
      <c r="A34" s="178"/>
      <c r="B34" s="35" t="s">
        <v>209</v>
      </c>
      <c r="C34" s="31"/>
      <c r="D34" s="31">
        <f ca="1">57.3*OFFSET(D$112,MATCH($N$1,$C$112:$C$113,0)-1,0)</f>
        <v>57.3</v>
      </c>
      <c r="E34" s="31">
        <f ca="1">41.1*OFFSET(E$112,MATCH($N$1,$C$112:$C$113,0)-1,0)</f>
        <v>41.1</v>
      </c>
      <c r="F34" s="31">
        <f ca="1">72.5*OFFSET(F$112,MATCH($N$1,$C$112:$C$113,0)-1,0)</f>
        <v>72.5</v>
      </c>
      <c r="G34" s="31">
        <f ca="1">43.8*OFFSET(G$112,MATCH($N$1,$C$112:$C$113,0)-1,0)</f>
        <v>43.8</v>
      </c>
      <c r="H34" s="31">
        <f ca="1">38.1*OFFSET(H$112,MATCH($N$1,$C$112:$C$113,0)-1,0)</f>
        <v>38.1</v>
      </c>
      <c r="I34" s="31">
        <f ca="1">62*OFFSET(I$112,MATCH($N$1,$C$112:$C$113,0)-1,0)</f>
        <v>62</v>
      </c>
      <c r="J34" s="31">
        <f ca="1">45.8*OFFSET(J$112,MATCH($N$1,$C$112:$C$113,0)-1,0)</f>
        <v>45.8</v>
      </c>
      <c r="K34" s="31">
        <f ca="1">76.4*OFFSET(K$112,MATCH($N$1,$C$112:$C$113,0)-1,0)</f>
        <v>76.400000000000006</v>
      </c>
      <c r="L34" s="31">
        <f ca="1">53.3*OFFSET(L$112,MATCH($N$1,$C$112:$C$113,0)-1,0)</f>
        <v>53.3</v>
      </c>
      <c r="M34" s="31">
        <f ca="1">72.7*OFFSET(M$112,MATCH($N$1,$C$112:$C$113,0)-1,0)</f>
        <v>72.7</v>
      </c>
      <c r="N34" s="31">
        <v>72.2</v>
      </c>
      <c r="O34" s="28">
        <f t="shared" ca="1" si="0"/>
        <v>0.26003490401396173</v>
      </c>
      <c r="P34" s="28">
        <f t="shared" ca="1" si="1"/>
        <v>0.57641921397379925</v>
      </c>
    </row>
    <row r="35" spans="1:16" ht="18" customHeight="1">
      <c r="A35" s="178"/>
      <c r="B35" s="35" t="s">
        <v>210</v>
      </c>
      <c r="C35" s="31"/>
      <c r="D35" s="31">
        <f ca="1">207.2*OFFSET(D$112,MATCH($N$1,$C$112:$C$113,0)-1,0)</f>
        <v>207.2</v>
      </c>
      <c r="E35" s="31">
        <f ca="1">270.1*OFFSET(E$112,MATCH($N$1,$C$112:$C$113,0)-1,0)</f>
        <v>270.10000000000002</v>
      </c>
      <c r="F35" s="31">
        <f ca="1">252.9*OFFSET(F$112,MATCH($N$1,$C$112:$C$113,0)-1,0)</f>
        <v>252.9</v>
      </c>
      <c r="G35" s="31">
        <f ca="1">235.6*OFFSET(G$112,MATCH($N$1,$C$112:$C$113,0)-1,0)</f>
        <v>235.6</v>
      </c>
      <c r="H35" s="31">
        <f ca="1">212.9*OFFSET(H$112,MATCH($N$1,$C$112:$C$113,0)-1,0)</f>
        <v>212.9</v>
      </c>
      <c r="I35" s="31">
        <f ca="1">193.9*OFFSET(I$112,MATCH($N$1,$C$112:$C$113,0)-1,0)</f>
        <v>193.9</v>
      </c>
      <c r="J35" s="31">
        <f ca="1">193.2*OFFSET(J$112,MATCH($N$1,$C$112:$C$113,0)-1,0)</f>
        <v>193.2</v>
      </c>
      <c r="K35" s="31">
        <f ca="1">214.5*OFFSET(K$112,MATCH($N$1,$C$112:$C$113,0)-1,0)</f>
        <v>214.5</v>
      </c>
      <c r="L35" s="31">
        <f ca="1">176*OFFSET(L$112,MATCH($N$1,$C$112:$C$113,0)-1,0)</f>
        <v>176</v>
      </c>
      <c r="M35" s="31">
        <f ca="1">185.5*OFFSET(M$112,MATCH($N$1,$C$112:$C$113,0)-1,0)</f>
        <v>185.5</v>
      </c>
      <c r="N35" s="31">
        <v>145.80000000000001</v>
      </c>
      <c r="O35" s="28">
        <f t="shared" ca="1" si="0"/>
        <v>-0.29633204633204624</v>
      </c>
      <c r="P35" s="28">
        <f t="shared" ca="1" si="1"/>
        <v>-0.24534161490683221</v>
      </c>
    </row>
    <row r="36" spans="1:16" ht="18" customHeight="1">
      <c r="A36" s="178"/>
      <c r="B36" s="40" t="s">
        <v>211</v>
      </c>
      <c r="C36" s="41"/>
      <c r="D36" s="41">
        <f ca="1">119.9*OFFSET(D$112,MATCH($N$1,$C$112:$C$113,0)-1,0)</f>
        <v>119.9</v>
      </c>
      <c r="E36" s="41">
        <f ca="1">95.5*OFFSET(E$112,MATCH($N$1,$C$112:$C$113,0)-1,0)</f>
        <v>95.5</v>
      </c>
      <c r="F36" s="41">
        <f ca="1">133.8*OFFSET(F$112,MATCH($N$1,$C$112:$C$113,0)-1,0)</f>
        <v>133.80000000000001</v>
      </c>
      <c r="G36" s="41">
        <f ca="1">115.8*OFFSET(G$112,MATCH($N$1,$C$112:$C$113,0)-1,0)</f>
        <v>115.8</v>
      </c>
      <c r="H36" s="41">
        <f ca="1">121.1*OFFSET(H$112,MATCH($N$1,$C$112:$C$113,0)-1,0)</f>
        <v>121.1</v>
      </c>
      <c r="I36" s="41">
        <f ca="1">107.4*OFFSET(I$112,MATCH($N$1,$C$112:$C$113,0)-1,0)</f>
        <v>107.4</v>
      </c>
      <c r="J36" s="41">
        <f ca="1">151.8*OFFSET(J$112,MATCH($N$1,$C$112:$C$113,0)-1,0)</f>
        <v>151.80000000000001</v>
      </c>
      <c r="K36" s="41">
        <f ca="1">159*OFFSET(K$112,MATCH($N$1,$C$112:$C$113,0)-1,0)</f>
        <v>159</v>
      </c>
      <c r="L36" s="41">
        <f ca="1">110.4*OFFSET(L$112,MATCH($N$1,$C$112:$C$113,0)-1,0)</f>
        <v>110.4</v>
      </c>
      <c r="M36" s="41">
        <f ca="1">104.1*OFFSET(M$112,MATCH($N$1,$C$112:$C$113,0)-1,0)</f>
        <v>104.1</v>
      </c>
      <c r="N36" s="41">
        <v>58.400000000000006</v>
      </c>
      <c r="O36" s="28">
        <f t="shared" ca="1" si="0"/>
        <v>-0.51292743953294406</v>
      </c>
      <c r="P36" s="28">
        <f t="shared" ca="1" si="1"/>
        <v>-0.61528326745718054</v>
      </c>
    </row>
    <row r="37" spans="1:16" ht="18" customHeight="1">
      <c r="A37" s="178"/>
      <c r="B37" s="40" t="s">
        <v>212</v>
      </c>
      <c r="C37" s="41"/>
      <c r="D37" s="41">
        <f ca="1">60.4*OFFSET(D$112,MATCH($N$1,$C$112:$C$113,0)-1,0)</f>
        <v>60.4</v>
      </c>
      <c r="E37" s="41">
        <f ca="1">10.8*OFFSET(E$112,MATCH($N$1,$C$112:$C$113,0)-1,0)</f>
        <v>10.8</v>
      </c>
      <c r="F37" s="41">
        <f ca="1">58.3*OFFSET(F$112,MATCH($N$1,$C$112:$C$113,0)-1,0)</f>
        <v>58.3</v>
      </c>
      <c r="G37" s="41">
        <f ca="1">47*OFFSET(G$112,MATCH($N$1,$C$112:$C$113,0)-1,0)</f>
        <v>47</v>
      </c>
      <c r="H37" s="41">
        <f ca="1">65.5*OFFSET(H$112,MATCH($N$1,$C$112:$C$113,0)-1,0)</f>
        <v>65.5</v>
      </c>
      <c r="I37" s="41">
        <f ca="1">53.6*OFFSET(I$112,MATCH($N$1,$C$112:$C$113,0)-1,0)</f>
        <v>53.6</v>
      </c>
      <c r="J37" s="41">
        <f ca="1">93.1*OFFSET(J$112,MATCH($N$1,$C$112:$C$113,0)-1,0)</f>
        <v>93.1</v>
      </c>
      <c r="K37" s="41">
        <f ca="1">91.5*OFFSET(K$112,MATCH($N$1,$C$112:$C$113,0)-1,0)</f>
        <v>91.5</v>
      </c>
      <c r="L37" s="41">
        <f ca="1">52.4*OFFSET(L$112,MATCH($N$1,$C$112:$C$113,0)-1,0)</f>
        <v>52.4</v>
      </c>
      <c r="M37" s="41">
        <f ca="1">53.7*OFFSET(M$112,MATCH($N$1,$C$112:$C$113,0)-1,0)</f>
        <v>53.7</v>
      </c>
      <c r="N37" s="41">
        <v>23.900000000000002</v>
      </c>
      <c r="O37" s="28">
        <f t="shared" ca="1" si="0"/>
        <v>-0.60430463576158944</v>
      </c>
      <c r="P37" s="28">
        <f t="shared" ca="1" si="1"/>
        <v>-0.7432867883995703</v>
      </c>
    </row>
    <row r="38" spans="1:16" ht="18" customHeight="1">
      <c r="A38" s="178"/>
      <c r="B38" s="35" t="s">
        <v>213</v>
      </c>
      <c r="C38" s="31"/>
      <c r="D38" s="31">
        <f ca="1">7.5*OFFSET(D$112,MATCH($N$1,$C$112:$C$113,0)-1,0)</f>
        <v>7.5</v>
      </c>
      <c r="E38" s="31">
        <f ca="1">5.2*OFFSET(E$112,MATCH($N$1,$C$112:$C$113,0)-1,0)</f>
        <v>5.2</v>
      </c>
      <c r="F38" s="31">
        <f ca="1">12*OFFSET(F$112,MATCH($N$1,$C$112:$C$113,0)-1,0)</f>
        <v>12</v>
      </c>
      <c r="G38" s="31">
        <f ca="1">11.6*OFFSET(G$112,MATCH($N$1,$C$112:$C$113,0)-1,0)</f>
        <v>11.6</v>
      </c>
      <c r="H38" s="31">
        <f ca="1">9.2*OFFSET(H$112,MATCH($N$1,$C$112:$C$113,0)-1,0)</f>
        <v>9.1999999999999993</v>
      </c>
      <c r="I38" s="31">
        <f ca="1">9.8*OFFSET(I$112,MATCH($N$1,$C$112:$C$113,0)-1,0)</f>
        <v>9.8000000000000007</v>
      </c>
      <c r="J38" s="31">
        <f ca="1">13.2*OFFSET(J$112,MATCH($N$1,$C$112:$C$113,0)-1,0)</f>
        <v>13.2</v>
      </c>
      <c r="K38" s="31">
        <f ca="1">15*OFFSET(K$112,MATCH($N$1,$C$112:$C$113,0)-1,0)</f>
        <v>15</v>
      </c>
      <c r="L38" s="31">
        <f ca="1">3.8*OFFSET(L$112,MATCH($N$1,$C$112:$C$113,0)-1,0)</f>
        <v>3.8</v>
      </c>
      <c r="M38" s="31">
        <f ca="1">4.6*OFFSET(M$112,MATCH($N$1,$C$112:$C$113,0)-1,0)</f>
        <v>4.5999999999999996</v>
      </c>
      <c r="N38" s="31"/>
      <c r="O38" s="28" t="str">
        <f t="shared" si="0"/>
        <v/>
      </c>
      <c r="P38" s="28" t="str">
        <f t="shared" si="1"/>
        <v/>
      </c>
    </row>
    <row r="39" spans="1:16" ht="18" customHeight="1">
      <c r="A39" s="178"/>
      <c r="B39" s="35" t="s">
        <v>214</v>
      </c>
      <c r="C39" s="31"/>
      <c r="D39" s="31">
        <f ca="1">1.7*OFFSET(D$112,MATCH($N$1,$C$112:$C$113,0)-1,0)</f>
        <v>1.7</v>
      </c>
      <c r="E39" s="31">
        <f ca="1">1.2*OFFSET(E$112,MATCH($N$1,$C$112:$C$113,0)-1,0)</f>
        <v>1.2</v>
      </c>
      <c r="F39" s="31">
        <f ca="1">4*OFFSET(F$112,MATCH($N$1,$C$112:$C$113,0)-1,0)</f>
        <v>4</v>
      </c>
      <c r="G39" s="31">
        <f ca="1">1.2*OFFSET(G$112,MATCH($N$1,$C$112:$C$113,0)-1,0)</f>
        <v>1.2</v>
      </c>
      <c r="H39" s="31">
        <f ca="1">2.3*OFFSET(H$112,MATCH($N$1,$C$112:$C$113,0)-1,0)</f>
        <v>2.2999999999999998</v>
      </c>
      <c r="I39" s="31">
        <f ca="1">1.2*OFFSET(I$112,MATCH($N$1,$C$112:$C$113,0)-1,0)</f>
        <v>1.2</v>
      </c>
      <c r="J39" s="31">
        <f ca="1">2.8*OFFSET(J$112,MATCH($N$1,$C$112:$C$113,0)-1,0)</f>
        <v>2.8</v>
      </c>
      <c r="K39" s="31">
        <f ca="1">2.5*OFFSET(K$112,MATCH($N$1,$C$112:$C$113,0)-1,0)</f>
        <v>2.5</v>
      </c>
      <c r="L39" s="31">
        <f ca="1">1.7*OFFSET(L$112,MATCH($N$1,$C$112:$C$113,0)-1,0)</f>
        <v>1.7</v>
      </c>
      <c r="M39" s="31">
        <f ca="1">1.8*OFFSET(M$112,MATCH($N$1,$C$112:$C$113,0)-1,0)</f>
        <v>1.8</v>
      </c>
      <c r="N39" s="31"/>
      <c r="O39" s="28" t="str">
        <f t="shared" si="0"/>
        <v/>
      </c>
      <c r="P39" s="28" t="str">
        <f t="shared" si="1"/>
        <v/>
      </c>
    </row>
    <row r="40" spans="1:16" ht="18" customHeight="1">
      <c r="A40" s="178"/>
      <c r="B40" s="35" t="s">
        <v>215</v>
      </c>
      <c r="C40" s="31"/>
      <c r="D40" s="31">
        <f ca="1">2.3*OFFSET(D$112,MATCH($N$1,$C$112:$C$113,0)-1,0)</f>
        <v>2.2999999999999998</v>
      </c>
      <c r="E40" s="31">
        <f ca="1">0.8*OFFSET(E$112,MATCH($N$1,$C$112:$C$113,0)-1,0)</f>
        <v>0.8</v>
      </c>
      <c r="F40" s="31">
        <f ca="1">1*OFFSET(F$112,MATCH($N$1,$C$112:$C$113,0)-1,0)</f>
        <v>1</v>
      </c>
      <c r="G40" s="31">
        <f ca="1">0.7*OFFSET(G$112,MATCH($N$1,$C$112:$C$113,0)-1,0)</f>
        <v>0.7</v>
      </c>
      <c r="H40" s="31">
        <f ca="1">0.7*OFFSET(H$112,MATCH($N$1,$C$112:$C$113,0)-1,0)</f>
        <v>0.7</v>
      </c>
      <c r="I40" s="31">
        <f ca="1">0.8*OFFSET(I$112,MATCH($N$1,$C$112:$C$113,0)-1,0)</f>
        <v>0.8</v>
      </c>
      <c r="J40" s="31">
        <f ca="1">0.7*OFFSET(J$112,MATCH($N$1,$C$112:$C$113,0)-1,0)</f>
        <v>0.7</v>
      </c>
      <c r="K40" s="31">
        <f ca="1">1.6*OFFSET(K$112,MATCH($N$1,$C$112:$C$113,0)-1,0)</f>
        <v>1.6</v>
      </c>
      <c r="L40" s="31">
        <f ca="1">0.1*OFFSET(L$112,MATCH($N$1,$C$112:$C$113,0)-1,0)</f>
        <v>0.1</v>
      </c>
      <c r="M40" s="31">
        <f ca="1">0.5*OFFSET(M$112,MATCH($N$1,$C$112:$C$113,0)-1,0)</f>
        <v>0.5</v>
      </c>
      <c r="N40" s="31"/>
      <c r="O40" s="28" t="str">
        <f t="shared" si="0"/>
        <v/>
      </c>
      <c r="P40" s="28" t="str">
        <f t="shared" si="1"/>
        <v/>
      </c>
    </row>
    <row r="41" spans="1:16" ht="18" customHeight="1" thickBot="1">
      <c r="A41" s="179"/>
      <c r="B41" s="42" t="s">
        <v>216</v>
      </c>
      <c r="C41" s="43"/>
      <c r="D41" s="43">
        <f ca="1">48.9*OFFSET(D$112,MATCH($N$1,$C$112:$C$113,0)-1,0)</f>
        <v>48.9</v>
      </c>
      <c r="E41" s="43">
        <f ca="1">3.7*OFFSET(E$112,MATCH($N$1,$C$112:$C$113,0)-1,0)</f>
        <v>3.7</v>
      </c>
      <c r="F41" s="43">
        <f ca="1">41.4*OFFSET(F$112,MATCH($N$1,$C$112:$C$113,0)-1,0)</f>
        <v>41.4</v>
      </c>
      <c r="G41" s="43">
        <f ca="1">33.6*OFFSET(G$112,MATCH($N$1,$C$112:$C$113,0)-1,0)</f>
        <v>33.6</v>
      </c>
      <c r="H41" s="43">
        <f ca="1">53.3*OFFSET(H$112,MATCH($N$1,$C$112:$C$113,0)-1,0)</f>
        <v>53.3</v>
      </c>
      <c r="I41" s="43">
        <f ca="1">41.8*OFFSET(I$112,MATCH($N$1,$C$112:$C$113,0)-1,0)</f>
        <v>41.8</v>
      </c>
      <c r="J41" s="43">
        <f ca="1">76.4*OFFSET(J$112,MATCH($N$1,$C$112:$C$113,0)-1,0)</f>
        <v>76.400000000000006</v>
      </c>
      <c r="K41" s="43">
        <f ca="1">72.5*OFFSET(K$112,MATCH($N$1,$C$112:$C$113,0)-1,0)</f>
        <v>72.5</v>
      </c>
      <c r="L41" s="43">
        <f ca="1">46.7*OFFSET(L$112,MATCH($N$1,$C$112:$C$113,0)-1,0)</f>
        <v>46.7</v>
      </c>
      <c r="M41" s="43">
        <f ca="1">46.9*OFFSET(M$112,MATCH($N$1,$C$112:$C$113,0)-1,0)</f>
        <v>46.9</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163</v>
      </c>
      <c r="F46" s="90" t="s">
        <v>163</v>
      </c>
      <c r="G46" s="90" t="s">
        <v>163</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Area VIIBCDEFGHK trawlers 10-24m</v>
      </c>
      <c r="B48" s="202"/>
      <c r="C48" s="92"/>
      <c r="D48" s="92"/>
      <c r="E48" s="92"/>
      <c r="F48" s="92"/>
      <c r="G48" s="92"/>
      <c r="H48" s="202"/>
      <c r="I48" s="202"/>
      <c r="J48" s="202"/>
      <c r="K48" s="92" t="str">
        <f>$B24&amp;CHAR(10)&amp;$A$1</f>
        <v>Operating profit per kW day at sea (£)
Area VIIBCDEFGHK trawlers 10-24m</v>
      </c>
      <c r="L48" s="202"/>
      <c r="M48" s="202"/>
      <c r="N48" s="202"/>
      <c r="O48" s="202"/>
      <c r="P48" s="202"/>
    </row>
    <row r="49" spans="1:11" s="80" customFormat="1">
      <c r="A49" s="92" t="str">
        <f>$B22&amp;CHAR(10)&amp;$A$1</f>
        <v>Fishing income per kW day at sea (£)
Area VIIBCDEFGHK trawlers 10-24m</v>
      </c>
      <c r="B49" s="202"/>
      <c r="C49" s="202"/>
      <c r="D49" s="202"/>
      <c r="E49" s="202"/>
      <c r="F49" s="202"/>
      <c r="G49" s="202"/>
      <c r="H49" s="202"/>
      <c r="I49" s="202"/>
      <c r="J49" s="202"/>
      <c r="K49" s="202"/>
    </row>
    <row r="50" spans="1:11" s="80" customFormat="1">
      <c r="A50" s="92" t="str">
        <f>$B20&amp;CHAR(10)&amp;$A$1</f>
        <v>Average price per tonne landed (£)
Area VIIBCDEFGHK trawlers 10-24m</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Area VIIBCDEFGHK trawlers 10-24m</v>
      </c>
      <c r="C62" s="202"/>
      <c r="D62" s="202"/>
      <c r="E62" s="202"/>
      <c r="F62" s="92" t="str">
        <f>$B20&amp;CHAR(10)&amp;$A$1</f>
        <v>Average price per tonne landed (£)
Area VIIBCDEFGHK trawlers 10-24m</v>
      </c>
      <c r="G62" s="202"/>
      <c r="H62" s="202"/>
      <c r="I62" s="202"/>
      <c r="J62" s="202"/>
      <c r="K62" s="92" t="str">
        <f>"Average annual operating profit per vessel (£'000)"&amp;CHAR(10)&amp;$A$1</f>
        <v>Average annual operating profit per vessel (£'000)
Area VIIBCDEFGHK trawlers 10-24m</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Area VIIBCDEFGHK trawlers 10-24m</v>
      </c>
      <c r="F76" s="92" t="str">
        <f>"Top 5 landed species by value in "&amp;A77&amp;CHAR(10)&amp;A1</f>
        <v>Top 5 landed species by value in 2019
Area VIIBCDEFGHK trawlers 10-24m</v>
      </c>
    </row>
    <row r="77" spans="1:11" s="92" customFormat="1">
      <c r="A77" s="92">
        <v>2019</v>
      </c>
      <c r="B77" s="92" t="s">
        <v>314</v>
      </c>
      <c r="C77" s="93">
        <v>0.15605553803695976</v>
      </c>
      <c r="D77" s="94">
        <v>11115023</v>
      </c>
      <c r="G77" s="92" t="s">
        <v>315</v>
      </c>
      <c r="H77" s="93">
        <v>0.16717241257894661</v>
      </c>
      <c r="I77" s="94">
        <v>12153634</v>
      </c>
      <c r="K77" s="92" t="s">
        <v>230</v>
      </c>
    </row>
    <row r="78" spans="1:11" s="92" customFormat="1">
      <c r="B78" s="92" t="s">
        <v>316</v>
      </c>
      <c r="C78" s="93">
        <v>0.12848103354868443</v>
      </c>
      <c r="D78" s="94">
        <v>12153634</v>
      </c>
      <c r="G78" s="92" t="s">
        <v>317</v>
      </c>
      <c r="H78" s="93">
        <v>0.14153598192003555</v>
      </c>
      <c r="I78" s="94">
        <v>553960</v>
      </c>
    </row>
    <row r="79" spans="1:11" s="92" customFormat="1">
      <c r="B79" s="92" t="s">
        <v>318</v>
      </c>
      <c r="C79" s="93">
        <v>7.9607600773918652E-2</v>
      </c>
      <c r="D79" s="94">
        <v>2480382</v>
      </c>
      <c r="G79" s="92" t="s">
        <v>319</v>
      </c>
      <c r="H79" s="93">
        <v>8.9600901476973818E-2</v>
      </c>
      <c r="I79" s="94">
        <v>3050596</v>
      </c>
    </row>
    <row r="80" spans="1:11" s="92" customFormat="1">
      <c r="B80" s="92" t="s">
        <v>320</v>
      </c>
      <c r="C80" s="93">
        <v>6.1108475228409558E-2</v>
      </c>
      <c r="D80" s="94">
        <v>3050596</v>
      </c>
      <c r="G80" s="92" t="s">
        <v>321</v>
      </c>
      <c r="H80" s="93">
        <v>6.6054591781510283E-2</v>
      </c>
      <c r="I80" s="94">
        <v>1692097</v>
      </c>
    </row>
    <row r="81" spans="1:19" s="92" customFormat="1">
      <c r="B81" s="92" t="s">
        <v>322</v>
      </c>
      <c r="C81" s="93">
        <v>6.0910647017239854E-2</v>
      </c>
      <c r="D81" s="94">
        <v>553960</v>
      </c>
      <c r="G81" s="92" t="s">
        <v>323</v>
      </c>
      <c r="H81" s="93">
        <v>6.2305657335291795E-2</v>
      </c>
      <c r="I81" s="94">
        <v>3689192</v>
      </c>
    </row>
    <row r="82" spans="1:19" s="92" customFormat="1">
      <c r="B82" s="92" t="s">
        <v>324</v>
      </c>
      <c r="C82" s="93">
        <v>0.51383670539478776</v>
      </c>
      <c r="D82" s="94">
        <v>5920853</v>
      </c>
      <c r="G82" s="92" t="s">
        <v>325</v>
      </c>
      <c r="H82" s="93">
        <v>0.47333045490724202</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162</v>
      </c>
      <c r="D92" s="98"/>
      <c r="E92" s="98">
        <v>9.2216356336864522E-2</v>
      </c>
      <c r="F92" s="98"/>
      <c r="G92" s="98">
        <v>0.10992614092339756</v>
      </c>
      <c r="H92" s="98">
        <v>0.17191068170665549</v>
      </c>
      <c r="I92" s="98">
        <v>0.19576597155737094</v>
      </c>
      <c r="J92" s="98">
        <v>0.36222379671670868</v>
      </c>
      <c r="K92" s="98">
        <v>0.13703770294416773</v>
      </c>
      <c r="L92" s="98">
        <v>0.16717241257894661</v>
      </c>
      <c r="M92" s="98">
        <v>0.1615887505733094</v>
      </c>
      <c r="O92" s="92">
        <v>12153634</v>
      </c>
    </row>
    <row r="93" spans="1:19" s="92" customFormat="1" hidden="1">
      <c r="B93" s="92">
        <v>2</v>
      </c>
      <c r="C93" s="92" t="s">
        <v>326</v>
      </c>
      <c r="D93" s="98">
        <v>0.13370783388731475</v>
      </c>
      <c r="E93" s="98">
        <v>0.18806921559390777</v>
      </c>
      <c r="F93" s="98">
        <v>0.22855291347375897</v>
      </c>
      <c r="G93" s="98">
        <v>0.21216468615648737</v>
      </c>
      <c r="H93" s="98">
        <v>0.18660859042451419</v>
      </c>
      <c r="I93" s="98">
        <v>0.18170108805625268</v>
      </c>
      <c r="J93" s="98">
        <v>0.11834132038418257</v>
      </c>
      <c r="K93" s="98">
        <v>0.12391427717230459</v>
      </c>
      <c r="L93" s="98">
        <v>0.14153598192003555</v>
      </c>
      <c r="M93" s="98">
        <v>0.12116454202343184</v>
      </c>
      <c r="O93" s="92">
        <v>553960</v>
      </c>
    </row>
    <row r="94" spans="1:19" s="92" customFormat="1" hidden="1">
      <c r="B94" s="92">
        <v>3</v>
      </c>
      <c r="C94" s="92" t="s">
        <v>161</v>
      </c>
      <c r="D94" s="98">
        <v>9.413237231880564E-2</v>
      </c>
      <c r="E94" s="98">
        <v>8.4494685258565419E-2</v>
      </c>
      <c r="F94" s="98">
        <v>6.9352484412298743E-2</v>
      </c>
      <c r="G94" s="98">
        <v>7.3905013771125599E-2</v>
      </c>
      <c r="H94" s="98">
        <v>7.9531859877568667E-2</v>
      </c>
      <c r="I94" s="98">
        <v>8.6424500147920372E-2</v>
      </c>
      <c r="J94" s="98">
        <v>5.6202794936955361E-2</v>
      </c>
      <c r="K94" s="98">
        <v>7.3422283385218112E-2</v>
      </c>
      <c r="L94" s="98">
        <v>8.9600901476973818E-2</v>
      </c>
      <c r="M94" s="98">
        <v>0.10874552618389728</v>
      </c>
      <c r="O94" s="92">
        <v>3050596</v>
      </c>
    </row>
    <row r="95" spans="1:19" s="92" customFormat="1" hidden="1">
      <c r="B95" s="92">
        <v>4</v>
      </c>
      <c r="C95" s="92" t="s">
        <v>169</v>
      </c>
      <c r="D95" s="98">
        <v>0.11900821423836443</v>
      </c>
      <c r="E95" s="98">
        <v>7.6933776012108476E-2</v>
      </c>
      <c r="F95" s="98">
        <v>0.11313551216495404</v>
      </c>
      <c r="G95" s="98">
        <v>0.11954291175096382</v>
      </c>
      <c r="H95" s="98">
        <v>9.6884274781710258E-2</v>
      </c>
      <c r="I95" s="98">
        <v>6.1294379921496139E-2</v>
      </c>
      <c r="J95" s="98">
        <v>7.4141566626185429E-2</v>
      </c>
      <c r="K95" s="98">
        <v>8.0152419468793826E-2</v>
      </c>
      <c r="L95" s="98">
        <v>6.6054591781510283E-2</v>
      </c>
      <c r="M95" s="98"/>
      <c r="O95" s="92">
        <v>1692097</v>
      </c>
    </row>
    <row r="96" spans="1:19" s="92" customFormat="1" hidden="1">
      <c r="B96" s="92">
        <v>5</v>
      </c>
      <c r="C96" s="92" t="s">
        <v>171</v>
      </c>
      <c r="D96" s="98"/>
      <c r="E96" s="98"/>
      <c r="F96" s="98"/>
      <c r="G96" s="98"/>
      <c r="H96" s="98"/>
      <c r="I96" s="98"/>
      <c r="J96" s="98"/>
      <c r="K96" s="98"/>
      <c r="L96" s="98">
        <v>6.2305657335291795E-2</v>
      </c>
      <c r="M96" s="98">
        <v>7.4778684099462076E-2</v>
      </c>
      <c r="O96" s="92">
        <v>3689192</v>
      </c>
    </row>
    <row r="97" spans="1:15" s="92" customFormat="1" hidden="1">
      <c r="B97" s="92">
        <v>6</v>
      </c>
      <c r="C97" s="92" t="s">
        <v>327</v>
      </c>
      <c r="D97" s="98"/>
      <c r="E97" s="98"/>
      <c r="F97" s="98"/>
      <c r="G97" s="98"/>
      <c r="H97" s="98">
        <v>5.3811205469792844E-2</v>
      </c>
      <c r="I97" s="98">
        <v>4.0321912100368895E-2</v>
      </c>
      <c r="J97" s="98"/>
      <c r="K97" s="98"/>
      <c r="L97" s="98"/>
      <c r="M97" s="98">
        <v>5.7432539760098551E-2</v>
      </c>
      <c r="O97" s="92">
        <v>11115023</v>
      </c>
    </row>
    <row r="98" spans="1:15" s="92" customFormat="1" hidden="1">
      <c r="B98" s="92">
        <v>7</v>
      </c>
      <c r="C98" s="92" t="s">
        <v>313</v>
      </c>
      <c r="D98" s="98"/>
      <c r="E98" s="98"/>
      <c r="F98" s="98"/>
      <c r="G98" s="98">
        <v>4.4567198947102628E-2</v>
      </c>
      <c r="H98" s="98"/>
      <c r="I98" s="98"/>
      <c r="J98" s="98">
        <v>3.8693456409122376E-2</v>
      </c>
      <c r="K98" s="98">
        <v>6.8869975762989644E-2</v>
      </c>
      <c r="L98" s="98"/>
      <c r="M98" s="98"/>
      <c r="O98" s="92">
        <v>2480382</v>
      </c>
    </row>
    <row r="99" spans="1:15" s="92" customFormat="1" hidden="1">
      <c r="B99" s="92">
        <v>8</v>
      </c>
      <c r="C99" s="92" t="s">
        <v>157</v>
      </c>
      <c r="D99" s="98">
        <v>7.5086765936643471E-2</v>
      </c>
      <c r="E99" s="98">
        <v>0.10277258756702529</v>
      </c>
      <c r="F99" s="98">
        <v>7.975497210505321E-2</v>
      </c>
      <c r="G99" s="98"/>
      <c r="H99" s="98"/>
      <c r="I99" s="98"/>
      <c r="J99" s="98"/>
      <c r="K99" s="98"/>
      <c r="L99" s="98"/>
      <c r="M99" s="98"/>
      <c r="O99" s="92">
        <v>7434864</v>
      </c>
    </row>
    <row r="100" spans="1:15" s="92" customFormat="1" hidden="1">
      <c r="B100" s="92">
        <v>9</v>
      </c>
      <c r="C100" s="92" t="s">
        <v>172</v>
      </c>
      <c r="D100" s="98">
        <v>7.2492309920954942E-2</v>
      </c>
      <c r="E100" s="98"/>
      <c r="F100" s="98">
        <v>6.1724910154270007E-2</v>
      </c>
      <c r="G100" s="98"/>
      <c r="H100" s="98"/>
      <c r="I100" s="98"/>
      <c r="J100" s="98"/>
      <c r="K100" s="98"/>
      <c r="L100" s="98"/>
      <c r="M100" s="98"/>
      <c r="O100" s="92">
        <v>8497745</v>
      </c>
    </row>
    <row r="101" spans="1:15" s="92" customFormat="1" hidden="1">
      <c r="B101" s="92">
        <v>10</v>
      </c>
      <c r="C101" s="92" t="s">
        <v>245</v>
      </c>
      <c r="D101" s="98">
        <v>0.50557250369791673</v>
      </c>
      <c r="E101" s="98">
        <v>0.45551337923152851</v>
      </c>
      <c r="F101" s="98">
        <v>0.44747920768966504</v>
      </c>
      <c r="G101" s="98">
        <v>0.439894048450923</v>
      </c>
      <c r="H101" s="98">
        <v>0.41125338773975856</v>
      </c>
      <c r="I101" s="98">
        <v>0.43449214821659099</v>
      </c>
      <c r="J101" s="98">
        <v>0.35039706492684553</v>
      </c>
      <c r="K101" s="98">
        <v>0.51660334126652607</v>
      </c>
      <c r="L101" s="98">
        <v>0.47333045490724196</v>
      </c>
      <c r="M101" s="98">
        <v>0.47628995735980084</v>
      </c>
      <c r="O101" s="92">
        <v>5920853</v>
      </c>
    </row>
    <row r="102" spans="1:15" s="92" customFormat="1" hidden="1">
      <c r="B102" s="92">
        <v>11</v>
      </c>
      <c r="D102" s="98"/>
      <c r="E102" s="98"/>
      <c r="F102" s="98"/>
      <c r="G102" s="98"/>
      <c r="H102" s="98"/>
      <c r="I102" s="98"/>
      <c r="J102" s="98"/>
      <c r="K102" s="98"/>
      <c r="L102" s="98"/>
      <c r="M102" s="98"/>
      <c r="O102" s="92">
        <v>2887140</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11</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14</v>
      </c>
      <c r="D120" s="54">
        <v>26</v>
      </c>
      <c r="E120" s="54">
        <v>14</v>
      </c>
      <c r="F120" s="55">
        <v>54</v>
      </c>
    </row>
    <row r="121" spans="1:15" ht="18" customHeight="1">
      <c r="A121" s="173" t="s">
        <v>191</v>
      </c>
      <c r="B121" s="33" t="s">
        <v>192</v>
      </c>
      <c r="C121" s="56">
        <v>14.541428565979004</v>
      </c>
      <c r="D121" s="56">
        <v>12.606538772583008</v>
      </c>
      <c r="E121" s="56">
        <v>11.898571014404297</v>
      </c>
      <c r="F121" s="57">
        <v>12.924629211425781</v>
      </c>
      <c r="G121" s="206"/>
      <c r="H121" s="206"/>
      <c r="I121" s="206"/>
      <c r="J121" s="206"/>
      <c r="K121" s="206"/>
      <c r="L121" s="206"/>
      <c r="M121" s="206"/>
      <c r="N121" s="206"/>
      <c r="O121" s="206"/>
    </row>
    <row r="122" spans="1:15" ht="18" customHeight="1">
      <c r="A122" s="174"/>
      <c r="B122" s="35" t="s">
        <v>184</v>
      </c>
      <c r="C122" s="58">
        <v>243.07142639160156</v>
      </c>
      <c r="D122" s="58">
        <v>180.73077392578125</v>
      </c>
      <c r="E122" s="58">
        <v>146.21427917480469</v>
      </c>
      <c r="F122" s="59">
        <v>187.94444274902344</v>
      </c>
      <c r="G122" s="206"/>
      <c r="H122" s="206"/>
      <c r="I122" s="206"/>
      <c r="J122" s="206"/>
      <c r="K122" s="206"/>
      <c r="L122" s="206"/>
      <c r="M122" s="206"/>
      <c r="N122" s="206"/>
      <c r="O122" s="206"/>
    </row>
    <row r="123" spans="1:15" ht="18" customHeight="1">
      <c r="A123" s="174"/>
      <c r="B123" s="35" t="s">
        <v>185</v>
      </c>
      <c r="C123" s="58">
        <v>50.142856597900391</v>
      </c>
      <c r="D123" s="58">
        <v>26.576922416687012</v>
      </c>
      <c r="E123" s="58">
        <v>22.714284896850586</v>
      </c>
      <c r="F123" s="59">
        <v>31.685184478759766</v>
      </c>
      <c r="G123" s="206"/>
      <c r="H123" s="206"/>
      <c r="I123" s="206"/>
      <c r="J123" s="206"/>
      <c r="K123" s="206"/>
      <c r="L123" s="206"/>
      <c r="M123" s="206"/>
      <c r="N123" s="206"/>
      <c r="O123" s="206"/>
    </row>
    <row r="124" spans="1:15" ht="18" customHeight="1">
      <c r="A124" s="174"/>
      <c r="B124" s="35" t="s">
        <v>186</v>
      </c>
      <c r="C124" s="58">
        <v>192.44906616210938</v>
      </c>
      <c r="D124" s="58">
        <v>143.37572479248047</v>
      </c>
      <c r="E124" s="58">
        <v>119.34625244140625</v>
      </c>
      <c r="F124" s="59">
        <v>149.86857604980469</v>
      </c>
      <c r="G124" s="206"/>
      <c r="H124" s="206"/>
      <c r="I124" s="206"/>
      <c r="J124" s="206"/>
      <c r="K124" s="206"/>
      <c r="L124" s="206"/>
      <c r="M124" s="206"/>
      <c r="N124" s="206"/>
      <c r="O124" s="206"/>
    </row>
    <row r="125" spans="1:15" ht="18" customHeight="1">
      <c r="A125" s="174"/>
      <c r="B125" s="35" t="s">
        <v>187</v>
      </c>
      <c r="C125" s="31">
        <v>246.51142883300781</v>
      </c>
      <c r="D125" s="31">
        <v>75.546014785766602</v>
      </c>
      <c r="E125" s="31">
        <v>32.156200408935547</v>
      </c>
      <c r="F125" s="60">
        <v>108.62117004394531</v>
      </c>
      <c r="G125" s="206"/>
      <c r="H125" s="206"/>
      <c r="I125" s="206"/>
      <c r="J125" s="206"/>
      <c r="K125" s="206"/>
      <c r="L125" s="206"/>
      <c r="M125" s="206"/>
      <c r="N125" s="206"/>
      <c r="O125" s="206"/>
    </row>
    <row r="126" spans="1:15" ht="18" customHeight="1">
      <c r="A126" s="174"/>
      <c r="B126" s="35" t="s">
        <v>193</v>
      </c>
      <c r="C126" s="31">
        <f ca="1">474.838625*OFFSET($L$112,MATCH($N$1,$C$112:$C$113,0)-1,0)</f>
        <v>474.83862499999998</v>
      </c>
      <c r="D126" s="31">
        <f ca="1">169.03275*OFFSET($L$112,MATCH($N$1,$C$112:$C$113,0)-1,0)</f>
        <v>169.03274999999999</v>
      </c>
      <c r="E126" s="31">
        <f ca="1">81.3874453125*OFFSET($L$112,MATCH($N$1,$C$112:$C$113,0)-1,0)</f>
        <v>81.387445312500006</v>
      </c>
      <c r="F126" s="60">
        <f ca="1">225.592890625*OFFSET($L$112,MATCH($N$1,$C$112:$C$113,0)-1,0)</f>
        <v>225.592890625</v>
      </c>
      <c r="G126" s="206"/>
      <c r="H126" s="206"/>
      <c r="I126" s="206"/>
      <c r="J126" s="206"/>
      <c r="K126" s="206"/>
      <c r="L126" s="206"/>
      <c r="M126" s="206"/>
      <c r="N126" s="206"/>
      <c r="O126" s="206"/>
    </row>
    <row r="127" spans="1:15" ht="18" customHeight="1">
      <c r="A127" s="174"/>
      <c r="B127" s="35" t="s">
        <v>189</v>
      </c>
      <c r="C127" s="58">
        <v>196.28572082519531</v>
      </c>
      <c r="D127" s="58">
        <v>139.84615325927734</v>
      </c>
      <c r="E127" s="58">
        <v>120.85713958740234</v>
      </c>
      <c r="F127" s="59">
        <v>149.55555725097656</v>
      </c>
      <c r="G127" s="206"/>
      <c r="H127" s="206"/>
      <c r="I127" s="206"/>
      <c r="J127" s="206"/>
      <c r="K127" s="206"/>
      <c r="L127" s="206"/>
      <c r="M127" s="206"/>
      <c r="N127" s="206"/>
      <c r="O127" s="206"/>
    </row>
    <row r="128" spans="1:15" ht="18" customHeight="1">
      <c r="A128" s="174"/>
      <c r="B128" s="35" t="s">
        <v>194</v>
      </c>
      <c r="C128" s="58">
        <v>17.928571701049805</v>
      </c>
      <c r="D128" s="58">
        <v>32</v>
      </c>
      <c r="E128" s="58">
        <v>37.071430206298828</v>
      </c>
      <c r="F128" s="59">
        <v>29.666666030883789</v>
      </c>
      <c r="G128" s="206"/>
      <c r="H128" s="206"/>
      <c r="I128" s="206"/>
      <c r="J128" s="206"/>
      <c r="K128" s="206"/>
      <c r="L128" s="206"/>
      <c r="M128" s="206"/>
      <c r="N128" s="206"/>
      <c r="O128" s="206"/>
    </row>
    <row r="129" spans="1:15" ht="18" customHeight="1">
      <c r="A129" s="174"/>
      <c r="B129" s="35" t="s">
        <v>195</v>
      </c>
      <c r="C129" s="61">
        <v>1.25588059425354</v>
      </c>
      <c r="D129" s="61">
        <v>0.54020802878791307</v>
      </c>
      <c r="E129" s="61">
        <v>0.26606786251068115</v>
      </c>
      <c r="F129" s="62">
        <v>0.72629308700561523</v>
      </c>
      <c r="G129" s="206"/>
      <c r="H129" s="206"/>
      <c r="I129" s="206"/>
      <c r="J129" s="206"/>
      <c r="K129" s="206"/>
      <c r="L129" s="206"/>
      <c r="M129" s="206"/>
      <c r="N129" s="206"/>
      <c r="O129" s="206"/>
    </row>
    <row r="130" spans="1:15" ht="18" customHeight="1">
      <c r="A130" s="175"/>
      <c r="B130" s="37" t="s">
        <v>196</v>
      </c>
      <c r="C130" s="38">
        <f ca="1">1926.23371357628*OFFSET($L$112,MATCH($N$1,$C$112:$C$113,0)-1,0)</f>
        <v>1926.23371357628</v>
      </c>
      <c r="D130" s="38">
        <f ca="1">2237.48069940344*OFFSET($L$112,MATCH($N$1,$C$112:$C$113,0)-1,0)</f>
        <v>2237.4806994034402</v>
      </c>
      <c r="E130" s="38">
        <f ca="1">2531.00317442617*OFFSET($L$112,MATCH($N$1,$C$112:$C$113,0)-1,0)</f>
        <v>2531.0031744261701</v>
      </c>
      <c r="F130" s="63">
        <f ca="1">2077*OFFSET($L$112,MATCH($N$1,$C$112:$C$113,0)-1,0)</f>
        <v>2077</v>
      </c>
      <c r="G130" s="206"/>
      <c r="H130" s="206"/>
      <c r="I130" s="206"/>
      <c r="J130" s="206"/>
      <c r="K130" s="206"/>
      <c r="L130" s="206"/>
      <c r="M130" s="206"/>
      <c r="N130" s="206"/>
      <c r="O130" s="206"/>
    </row>
    <row r="131" spans="1:15" ht="18" customHeight="1">
      <c r="A131" s="184" t="s">
        <v>197</v>
      </c>
      <c r="B131" s="33" t="s">
        <v>198</v>
      </c>
      <c r="C131" s="64">
        <v>4.9141592758281982</v>
      </c>
      <c r="D131" s="64">
        <v>2.8596000647270969</v>
      </c>
      <c r="E131" s="64">
        <v>1.7191889527085518</v>
      </c>
      <c r="F131" s="65">
        <v>3.55266337535235</v>
      </c>
      <c r="G131" s="206"/>
      <c r="H131" s="206"/>
      <c r="I131" s="206"/>
      <c r="J131" s="206"/>
      <c r="K131" s="206"/>
      <c r="L131" s="206"/>
      <c r="M131" s="206"/>
      <c r="N131" s="206"/>
      <c r="O131" s="206"/>
    </row>
    <row r="132" spans="1:15" ht="18" customHeight="1">
      <c r="A132" s="185"/>
      <c r="B132" s="35" t="s">
        <v>199</v>
      </c>
      <c r="C132" s="61">
        <f ca="1">9.46581927098388*OFFSET($L$112,MATCH($N$1,$C$112:$C$113,0)-1,0)</f>
        <v>9.4658192709838804</v>
      </c>
      <c r="D132" s="61">
        <f ca="1">6.39829995283972*OFFSET($L$112,MATCH($N$1,$C$112:$C$113,0)-1,0)</f>
        <v>6.3982999528397198</v>
      </c>
      <c r="E132" s="61">
        <f ca="1">4.35127269674375*OFFSET($L$112,MATCH($N$1,$C$112:$C$113,0)-1,0)</f>
        <v>4.3512726967437496</v>
      </c>
      <c r="F132" s="62">
        <f ca="1">7.37844749728858*OFFSET($L$112,MATCH($N$1,$C$112:$C$113,0)-1,0)</f>
        <v>7.3784474972885796</v>
      </c>
      <c r="G132" s="206"/>
      <c r="H132" s="206"/>
      <c r="I132" s="206"/>
      <c r="J132" s="206"/>
      <c r="K132" s="206"/>
      <c r="L132" s="206"/>
      <c r="M132" s="206"/>
      <c r="N132" s="206"/>
      <c r="O132" s="206"/>
    </row>
    <row r="133" spans="1:15" ht="18" customHeight="1">
      <c r="A133" s="185"/>
      <c r="B133" s="35" t="s">
        <v>154</v>
      </c>
      <c r="C133" s="61">
        <f ca="1">6.74539848445583*OFFSET($L$112,MATCH($N$1,$C$112:$C$113,0)-1,0)</f>
        <v>6.7453984844558299</v>
      </c>
      <c r="D133" s="61">
        <f ca="1">5.08953112005555*OFFSET($L$112,MATCH($N$1,$C$112:$C$113,0)-1,0)</f>
        <v>5.0895311200555504</v>
      </c>
      <c r="E133" s="61">
        <f ca="1">4.00235305474995*OFFSET($L$112,MATCH($N$1,$C$112:$C$113,0)-1,0)</f>
        <v>4.0023530547499497</v>
      </c>
      <c r="F133" s="62">
        <f ca="1">5.62144773837432*OFFSET($L$112,MATCH($N$1,$C$112:$C$113,0)-1,0)</f>
        <v>5.6214477383743198</v>
      </c>
      <c r="G133" s="206"/>
      <c r="H133" s="206"/>
      <c r="I133" s="206"/>
      <c r="J133" s="206"/>
      <c r="K133" s="206"/>
      <c r="L133" s="206"/>
      <c r="M133" s="206"/>
      <c r="N133" s="206"/>
      <c r="O133" s="206"/>
    </row>
    <row r="134" spans="1:15" ht="18" customHeight="1">
      <c r="A134" s="186"/>
      <c r="B134" s="37" t="s">
        <v>155</v>
      </c>
      <c r="C134" s="66">
        <f ca="1">2.72042078652805*OFFSET($L$112,MATCH($N$1,$C$112:$C$113,0)-1,0)</f>
        <v>2.7204207865280501</v>
      </c>
      <c r="D134" s="66">
        <f ca="1">1.30876883278417*OFFSET($L$112,MATCH($N$1,$C$112:$C$113,0)-1,0)</f>
        <v>1.30876883278417</v>
      </c>
      <c r="E134" s="66">
        <f ca="1">0.348919641993803*OFFSET($L$112,MATCH($N$1,$C$112:$C$113,0)-1,0)</f>
        <v>0.34891964199380299</v>
      </c>
      <c r="F134" s="67">
        <f ca="1">1.75699975891426*OFFSET($L$112,MATCH($N$1,$C$112:$C$113,0)-1,0)</f>
        <v>1.7569997589142601</v>
      </c>
      <c r="G134" s="206"/>
      <c r="H134" s="206"/>
      <c r="I134" s="206"/>
      <c r="J134" s="206"/>
      <c r="K134" s="206"/>
      <c r="L134" s="206"/>
      <c r="M134" s="206"/>
      <c r="N134" s="206"/>
      <c r="O134" s="206"/>
    </row>
    <row r="135" spans="1:15" ht="18" customHeight="1">
      <c r="A135" s="187" t="s">
        <v>254</v>
      </c>
      <c r="B135" s="35" t="s">
        <v>255</v>
      </c>
      <c r="C135" s="68">
        <f ca="1">50.86925390625*OFFSET($L$112,MATCH($N$1,$C$112:$C$113,0)-1,0)</f>
        <v>50.869253906250002</v>
      </c>
      <c r="D135" s="68">
        <f ca="1">32.1118662109375*OFFSET($L$112,MATCH($N$1,$C$112:$C$113,0)-1,0)</f>
        <v>32.111866210937499</v>
      </c>
      <c r="E135" s="68">
        <f ca="1">25.58298046875*OFFSET($L$112,MATCH($N$1,$C$112:$C$113,0)-1,0)</f>
        <v>25.582980468750002</v>
      </c>
      <c r="F135" s="69">
        <f ca="1">35.28221875*OFFSET($L$112,MATCH($N$1,$C$112:$C$113,0)-1,0)</f>
        <v>35.282218749999998</v>
      </c>
      <c r="G135" s="206"/>
      <c r="H135" s="206"/>
      <c r="I135" s="206"/>
      <c r="J135" s="206"/>
      <c r="K135" s="206"/>
      <c r="L135" s="206"/>
      <c r="M135" s="206"/>
      <c r="N135" s="206"/>
      <c r="O135" s="206"/>
    </row>
    <row r="136" spans="1:15" ht="18" customHeight="1">
      <c r="A136" s="188"/>
      <c r="B136" s="35" t="s">
        <v>256</v>
      </c>
      <c r="C136" s="30">
        <v>96957.143227446824</v>
      </c>
      <c r="D136" s="30">
        <v>61153.846976400819</v>
      </c>
      <c r="E136" s="30">
        <v>48707.14229797083</v>
      </c>
      <c r="F136" s="70">
        <v>67209.259259259255</v>
      </c>
      <c r="G136" s="206"/>
      <c r="H136" s="206"/>
      <c r="I136" s="206"/>
      <c r="J136" s="206"/>
      <c r="K136" s="206"/>
      <c r="L136" s="206"/>
      <c r="M136" s="206"/>
      <c r="N136" s="206"/>
      <c r="O136" s="206"/>
    </row>
    <row r="137" spans="1:15" ht="18" customHeight="1">
      <c r="A137" s="188"/>
      <c r="B137" s="35" t="s">
        <v>257</v>
      </c>
      <c r="C137" s="30">
        <v>493.959228515625</v>
      </c>
      <c r="D137" s="30">
        <v>437.29373708993239</v>
      </c>
      <c r="E137" s="30">
        <v>403.01419067382813</v>
      </c>
      <c r="F137" s="70">
        <v>449.39324951171875</v>
      </c>
      <c r="G137" s="206"/>
      <c r="H137" s="206"/>
      <c r="I137" s="206"/>
      <c r="J137" s="206"/>
      <c r="K137" s="206"/>
      <c r="L137" s="206"/>
      <c r="M137" s="206"/>
      <c r="N137" s="206"/>
      <c r="O137" s="206"/>
    </row>
    <row r="138" spans="1:15" ht="18" customHeight="1">
      <c r="A138" s="188"/>
      <c r="B138" s="35" t="s">
        <v>258</v>
      </c>
      <c r="C138" s="30">
        <f ca="1">259.159217962433*OFFSET($L$112,MATCH($N$1,$C$112:$C$113,0)-1,0)</f>
        <v>259.15921796243299</v>
      </c>
      <c r="D138" s="30">
        <f ca="1">229.622806652404*OFFSET($L$112,MATCH($N$1,$C$112:$C$113,0)-1,0)</f>
        <v>229.62280665240399</v>
      </c>
      <c r="E138" s="30">
        <f ca="1">211.679513151548*OFFSET($L$112,MATCH($N$1,$C$112:$C$113,0)-1,0)</f>
        <v>211.67951315154801</v>
      </c>
      <c r="F138" s="70">
        <f ca="1">235.913792830788*OFFSET($L$112,MATCH($N$1,$C$112:$C$113,0)-1,0)</f>
        <v>235.913792830788</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206.356574001727*OFFSET($L$112,MATCH($N$1,$C$112:$C$113,0)-1,0)</f>
        <v>206.35657400172701</v>
      </c>
      <c r="D139" s="30">
        <f ca="1">425.063668838129*OFFSET($L$112,MATCH($N$1,$C$112:$C$113,0)-1,0)</f>
        <v>425.06366883812899</v>
      </c>
      <c r="E139" s="30">
        <f ca="1">795.584681753663*OFFSET($L$112,MATCH($N$1,$C$112:$C$113,0)-1,0)</f>
        <v>795.58468175366295</v>
      </c>
      <c r="F139" s="70">
        <f ca="1">324.818990034132*OFFSET($L$112,MATCH($N$1,$C$112:$C$113,0)-1,0)</f>
        <v>324.81899003413201</v>
      </c>
      <c r="G139" s="206"/>
      <c r="H139" s="206"/>
      <c r="I139" s="46"/>
      <c r="J139" s="206"/>
      <c r="K139" s="71" t="s">
        <v>260</v>
      </c>
      <c r="L139" s="72">
        <f t="shared" ref="L139:M141" ca="1" si="2">C140</f>
        <v>503.45478125</v>
      </c>
      <c r="M139" s="72">
        <f t="shared" ca="1" si="2"/>
        <v>179.21951562500001</v>
      </c>
      <c r="N139" s="72">
        <f ca="1">E140</f>
        <v>86.292265624999999</v>
      </c>
      <c r="O139" s="72"/>
    </row>
    <row r="140" spans="1:15" ht="18" customHeight="1">
      <c r="A140" s="166" t="s">
        <v>261</v>
      </c>
      <c r="B140" s="33" t="s">
        <v>262</v>
      </c>
      <c r="C140" s="73">
        <f ca="1">503.45478125*OFFSET($L$112,MATCH($N$1,$C$112:$C$113,0)-1,0)</f>
        <v>503.45478125</v>
      </c>
      <c r="D140" s="73">
        <f ca="1">179.219515625*OFFSET($L$112,MATCH($N$1,$C$112:$C$113,0)-1,0)</f>
        <v>179.21951562500001</v>
      </c>
      <c r="E140" s="73">
        <f ca="1">86.292265625*OFFSET($L$112,MATCH($N$1,$C$112:$C$113,0)-1,0)</f>
        <v>86.292265624999999</v>
      </c>
      <c r="F140" s="74">
        <f ca="1">239.188265625*OFFSET($L$112,MATCH($N$1,$C$112:$C$113,0)-1,0)</f>
        <v>239.18826562500001</v>
      </c>
      <c r="G140" s="206"/>
      <c r="H140" s="206"/>
      <c r="I140" s="46"/>
      <c r="J140" s="206"/>
      <c r="K140" s="71" t="s">
        <v>263</v>
      </c>
      <c r="L140" s="72">
        <f t="shared" ca="1" si="2"/>
        <v>366.98896875000003</v>
      </c>
      <c r="M140" s="72">
        <f t="shared" ca="1" si="2"/>
        <v>144.64395703125001</v>
      </c>
      <c r="N140" s="72">
        <f ca="1">E141</f>
        <v>79.765968749999999</v>
      </c>
      <c r="O140" s="72"/>
    </row>
    <row r="141" spans="1:15" ht="18" customHeight="1">
      <c r="A141" s="167"/>
      <c r="B141" s="35" t="s">
        <v>264</v>
      </c>
      <c r="C141" s="30">
        <f ca="1">366.98896875*OFFSET($L$112,MATCH($N$1,$C$112:$C$113,0)-1,0)</f>
        <v>366.98896875000003</v>
      </c>
      <c r="D141" s="30">
        <f ca="1">144.64395703125*OFFSET($L$112,MATCH($N$1,$C$112:$C$113,0)-1,0)</f>
        <v>144.64395703125001</v>
      </c>
      <c r="E141" s="30">
        <f ca="1">79.76596875*OFFSET($L$112,MATCH($N$1,$C$112:$C$113,0)-1,0)</f>
        <v>79.765968749999999</v>
      </c>
      <c r="F141" s="70">
        <f ca="1">185.468734375*OFFSET($L$112,MATCH($N$1,$C$112:$C$113,0)-1,0)</f>
        <v>185.468734375</v>
      </c>
      <c r="G141" s="206"/>
      <c r="H141" s="206"/>
      <c r="I141" s="46"/>
      <c r="J141" s="206"/>
      <c r="K141" s="71" t="s">
        <v>265</v>
      </c>
      <c r="L141" s="72">
        <f t="shared" ca="1" si="2"/>
        <v>136.4658125</v>
      </c>
      <c r="M141" s="72">
        <f t="shared" ca="1" si="2"/>
        <v>34.575558593750003</v>
      </c>
      <c r="N141" s="72">
        <f ca="1">E142</f>
        <v>6.5262968749999999</v>
      </c>
      <c r="O141" s="72"/>
    </row>
    <row r="142" spans="1:15" ht="18" customHeight="1">
      <c r="A142" s="168"/>
      <c r="B142" s="37" t="s">
        <v>266</v>
      </c>
      <c r="C142" s="38">
        <f ca="1">136.4658125*OFFSET($L$112,MATCH($N$1,$C$112:$C$113,0)-1,0)</f>
        <v>136.4658125</v>
      </c>
      <c r="D142" s="38">
        <f ca="1">34.57555859375*OFFSET($L$112,MATCH($N$1,$C$112:$C$113,0)-1,0)</f>
        <v>34.575558593750003</v>
      </c>
      <c r="E142" s="38">
        <f ca="1">6.526296875*OFFSET($L$112,MATCH($N$1,$C$112:$C$113,0)-1,0)</f>
        <v>6.5262968749999999</v>
      </c>
      <c r="F142" s="63">
        <f ca="1">53.71951953125*OFFSET($L$112,MATCH($N$1,$C$112:$C$113,0)-1,0)</f>
        <v>53.71951953125</v>
      </c>
      <c r="G142" s="206"/>
      <c r="H142" s="206"/>
      <c r="I142" s="46"/>
      <c r="J142" s="206"/>
      <c r="K142" s="71" t="s">
        <v>267</v>
      </c>
      <c r="L142" s="75">
        <f ca="1">IFERROR(L140/L$139,"")</f>
        <v>0.72894127222076122</v>
      </c>
      <c r="M142" s="75">
        <f t="shared" ref="M142:N143" ca="1" si="3">IFERROR(M140/M$139,"")</f>
        <v>0.80707704474497011</v>
      </c>
      <c r="N142" s="75">
        <f t="shared" ca="1" si="3"/>
        <v>0.92436985136812488</v>
      </c>
      <c r="O142" s="75"/>
    </row>
    <row r="143" spans="1:15" ht="18" customHeight="1">
      <c r="A143" s="206"/>
      <c r="B143" s="206"/>
      <c r="C143" s="206"/>
      <c r="D143" s="206"/>
      <c r="E143" s="206"/>
      <c r="F143" s="206"/>
      <c r="G143" s="206"/>
      <c r="H143" s="206"/>
      <c r="I143" s="46"/>
      <c r="J143" s="206"/>
      <c r="K143" s="71" t="s">
        <v>268</v>
      </c>
      <c r="L143" s="75">
        <f ca="1">IFERROR(L141/L$139,"")</f>
        <v>0.27105872777923884</v>
      </c>
      <c r="M143" s="75">
        <f t="shared" ca="1" si="3"/>
        <v>0.19292295525502987</v>
      </c>
      <c r="N143" s="75">
        <f t="shared" ca="1" si="3"/>
        <v>7.5630148631875144E-2</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10</v>
      </c>
      <c r="B161" s="51"/>
      <c r="C161" s="76" t="s">
        <v>249</v>
      </c>
      <c r="D161" s="76" t="s">
        <v>270</v>
      </c>
      <c r="E161" s="76" t="s">
        <v>251</v>
      </c>
      <c r="F161" s="76" t="s">
        <v>271</v>
      </c>
      <c r="G161" s="77">
        <v>9</v>
      </c>
      <c r="H161" s="76"/>
      <c r="I161" s="76" t="s">
        <v>249</v>
      </c>
      <c r="J161" s="76" t="s">
        <v>270</v>
      </c>
      <c r="K161" s="76" t="s">
        <v>251</v>
      </c>
      <c r="L161" s="51" t="s">
        <v>271</v>
      </c>
      <c r="R161" s="206"/>
      <c r="S161" s="206"/>
    </row>
    <row r="162" spans="1:19" s="46" customFormat="1">
      <c r="A162" s="47">
        <v>1</v>
      </c>
      <c r="B162" s="51" t="s">
        <v>162</v>
      </c>
      <c r="C162" s="51">
        <v>0.1252715063174738</v>
      </c>
      <c r="D162" s="51">
        <v>0.17454756400557983</v>
      </c>
      <c r="E162" s="51">
        <v>0.13131660197477976</v>
      </c>
      <c r="F162" s="47">
        <v>12153634</v>
      </c>
      <c r="G162" s="47">
        <v>1</v>
      </c>
      <c r="H162" s="51" t="s">
        <v>162</v>
      </c>
      <c r="I162" s="51">
        <v>0.17431899430010564</v>
      </c>
      <c r="J162" s="51">
        <v>0.20373962705601531</v>
      </c>
      <c r="K162" s="51">
        <v>0.14641687336523393</v>
      </c>
      <c r="L162" s="47">
        <v>12153634</v>
      </c>
      <c r="R162" s="206"/>
      <c r="S162" s="206"/>
    </row>
    <row r="163" spans="1:19" s="46" customFormat="1">
      <c r="A163" s="47">
        <v>2</v>
      </c>
      <c r="B163" s="51" t="s">
        <v>327</v>
      </c>
      <c r="C163" s="51">
        <v>0</v>
      </c>
      <c r="D163" s="51">
        <v>0.13519276902352795</v>
      </c>
      <c r="E163" s="51">
        <v>0</v>
      </c>
      <c r="F163" s="47">
        <v>7434864</v>
      </c>
      <c r="G163" s="47">
        <v>2</v>
      </c>
      <c r="H163" s="51" t="s">
        <v>326</v>
      </c>
      <c r="I163" s="51">
        <v>0.14804896871534351</v>
      </c>
      <c r="J163" s="51">
        <v>0.16979170398268137</v>
      </c>
      <c r="K163" s="51">
        <v>0.1295448704363652</v>
      </c>
      <c r="L163" s="47">
        <v>553960</v>
      </c>
      <c r="N163" s="46" t="s">
        <v>272</v>
      </c>
      <c r="R163" s="206"/>
      <c r="S163" s="206"/>
    </row>
    <row r="164" spans="1:19" s="46" customFormat="1">
      <c r="A164" s="47">
        <v>3</v>
      </c>
      <c r="B164" s="51" t="s">
        <v>274</v>
      </c>
      <c r="C164" s="51">
        <v>6.7167938506578012E-2</v>
      </c>
      <c r="D164" s="51">
        <v>0.1175336728848181</v>
      </c>
      <c r="E164" s="51">
        <v>0.13017840426889851</v>
      </c>
      <c r="F164" s="47">
        <v>2480382</v>
      </c>
      <c r="G164" s="47">
        <v>3</v>
      </c>
      <c r="H164" s="51" t="s">
        <v>161</v>
      </c>
      <c r="I164" s="51">
        <v>8.6379280596445659E-2</v>
      </c>
      <c r="J164" s="51">
        <v>0.11374111362347195</v>
      </c>
      <c r="K164" s="51">
        <v>0.10571548987909005</v>
      </c>
      <c r="L164" s="47">
        <v>3050596</v>
      </c>
      <c r="N164" s="46" t="s">
        <v>273</v>
      </c>
      <c r="R164" s="206"/>
      <c r="S164" s="206"/>
    </row>
    <row r="165" spans="1:19" s="46" customFormat="1">
      <c r="A165" s="47">
        <v>4</v>
      </c>
      <c r="B165" s="51" t="s">
        <v>328</v>
      </c>
      <c r="C165" s="51">
        <v>0.21411021444542358</v>
      </c>
      <c r="D165" s="51">
        <v>0.11746176022710685</v>
      </c>
      <c r="E165" s="51">
        <v>0</v>
      </c>
      <c r="F165" s="47">
        <v>11115023</v>
      </c>
      <c r="G165" s="47">
        <v>4</v>
      </c>
      <c r="H165" s="51" t="s">
        <v>171</v>
      </c>
      <c r="I165" s="51">
        <v>0</v>
      </c>
      <c r="J165" s="51">
        <v>9.2171002871024477E-2</v>
      </c>
      <c r="K165" s="51">
        <v>8.024638347220131E-2</v>
      </c>
      <c r="L165" s="47">
        <v>3689192</v>
      </c>
      <c r="R165" s="206"/>
      <c r="S165" s="206"/>
    </row>
    <row r="166" spans="1:19" s="46" customFormat="1">
      <c r="A166" s="47">
        <v>5</v>
      </c>
      <c r="B166" s="51" t="s">
        <v>161</v>
      </c>
      <c r="C166" s="51">
        <v>5.3970984159466877E-2</v>
      </c>
      <c r="D166" s="51">
        <v>8.8881553360952117E-2</v>
      </c>
      <c r="E166" s="51">
        <v>8.5911230289672638E-2</v>
      </c>
      <c r="F166" s="47">
        <v>3050596</v>
      </c>
      <c r="G166" s="47">
        <v>5</v>
      </c>
      <c r="H166" s="51" t="s">
        <v>327</v>
      </c>
      <c r="I166" s="51">
        <v>0</v>
      </c>
      <c r="J166" s="51">
        <v>8.8177560491969578E-2</v>
      </c>
      <c r="K166" s="51">
        <v>0</v>
      </c>
      <c r="L166" s="47">
        <v>7434864</v>
      </c>
      <c r="R166" s="206"/>
      <c r="S166" s="206"/>
    </row>
    <row r="167" spans="1:19" s="46" customFormat="1">
      <c r="A167" s="47">
        <v>6</v>
      </c>
      <c r="B167" s="51" t="s">
        <v>329</v>
      </c>
      <c r="C167" s="51">
        <v>0</v>
      </c>
      <c r="D167" s="51">
        <v>0</v>
      </c>
      <c r="E167" s="51">
        <v>0.12898667891020987</v>
      </c>
      <c r="F167" s="47">
        <v>8497745</v>
      </c>
      <c r="G167" s="47">
        <v>6</v>
      </c>
      <c r="H167" s="51" t="s">
        <v>169</v>
      </c>
      <c r="I167" s="51">
        <v>5.7426282300981249E-2</v>
      </c>
      <c r="J167" s="51">
        <v>0</v>
      </c>
      <c r="K167" s="51">
        <v>0.11880630473619733</v>
      </c>
      <c r="L167" s="47">
        <v>1692097</v>
      </c>
      <c r="R167" s="206"/>
      <c r="S167" s="206"/>
    </row>
    <row r="168" spans="1:19" s="46" customFormat="1">
      <c r="A168" s="47">
        <v>7</v>
      </c>
      <c r="B168" s="51" t="s">
        <v>168</v>
      </c>
      <c r="C168" s="51">
        <v>0</v>
      </c>
      <c r="D168" s="51">
        <v>0</v>
      </c>
      <c r="E168" s="51">
        <v>9.2616439464927522E-2</v>
      </c>
      <c r="F168" s="47">
        <v>14393110</v>
      </c>
      <c r="G168" s="47">
        <v>7</v>
      </c>
      <c r="H168" s="51" t="s">
        <v>157</v>
      </c>
      <c r="I168" s="51">
        <v>6.0979869186173874E-2</v>
      </c>
      <c r="J168" s="51">
        <v>0</v>
      </c>
      <c r="K168" s="51">
        <v>0</v>
      </c>
      <c r="L168" s="47">
        <v>2887140</v>
      </c>
      <c r="R168" s="206"/>
      <c r="S168" s="206"/>
    </row>
    <row r="169" spans="1:19" s="46" customFormat="1">
      <c r="A169" s="47">
        <v>8</v>
      </c>
      <c r="B169" s="51" t="s">
        <v>326</v>
      </c>
      <c r="C169" s="51">
        <v>5.8196089000308503E-2</v>
      </c>
      <c r="D169" s="51">
        <v>0</v>
      </c>
      <c r="E169" s="51">
        <v>0</v>
      </c>
      <c r="F169" s="47">
        <v>553960</v>
      </c>
      <c r="G169" s="47">
        <v>8</v>
      </c>
      <c r="H169" s="51" t="s">
        <v>245</v>
      </c>
      <c r="I169" s="51">
        <v>0.4728466049009501</v>
      </c>
      <c r="J169" s="51">
        <v>0.33237899197483733</v>
      </c>
      <c r="K169" s="51">
        <v>0.41927007811091221</v>
      </c>
      <c r="L169" s="47">
        <v>5920853</v>
      </c>
      <c r="R169" s="206"/>
      <c r="S169" s="206"/>
    </row>
    <row r="170" spans="1:19" s="46" customFormat="1">
      <c r="A170" s="47">
        <v>9</v>
      </c>
      <c r="B170" s="51" t="s">
        <v>245</v>
      </c>
      <c r="C170" s="51">
        <v>0.48128326757074924</v>
      </c>
      <c r="D170" s="51">
        <v>0.36638268049801515</v>
      </c>
      <c r="E170" s="51">
        <v>0.43099064509151164</v>
      </c>
      <c r="F170" s="47">
        <v>5920853</v>
      </c>
      <c r="G170" s="47">
        <v>9</v>
      </c>
      <c r="H170" s="51"/>
      <c r="I170" s="51">
        <v>0</v>
      </c>
      <c r="J170" s="51">
        <v>0</v>
      </c>
      <c r="K170" s="51">
        <v>0</v>
      </c>
      <c r="L170" s="47"/>
      <c r="R170" s="206"/>
      <c r="S170" s="206"/>
    </row>
    <row r="171" spans="1:19" s="46" customFormat="1">
      <c r="A171" s="47">
        <v>10</v>
      </c>
      <c r="B171" s="51"/>
      <c r="C171" s="51">
        <v>0</v>
      </c>
      <c r="D171" s="51">
        <v>0</v>
      </c>
      <c r="E171" s="51">
        <v>0</v>
      </c>
      <c r="F171" s="47"/>
      <c r="G171" s="47">
        <v>10</v>
      </c>
      <c r="H171" s="51"/>
      <c r="I171" s="51">
        <v>0</v>
      </c>
      <c r="J171" s="51">
        <v>0</v>
      </c>
      <c r="K171" s="51">
        <v>0</v>
      </c>
      <c r="L171" s="47"/>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5186652F-AB1F-4AD1-B8E3-D306AC09B0B6}">
      <formula1>$C$112:$C$113</formula1>
    </dataValidation>
  </dataValidations>
  <hyperlinks>
    <hyperlink ref="O1:P1" location="Home_page" display="Back to home page" xr:uid="{4DAA5832-E32E-4298-9388-00F366B95C4F}"/>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8A375E42-A9D0-4C80-935A-A2F98E853A01}">
          <x14:colorSeries rgb="FF323232"/>
          <x14:colorNegative rgb="FFD00000"/>
          <x14:colorAxis rgb="FF000000"/>
          <x14:colorMarkers rgb="FFD00000"/>
          <x14:colorFirst rgb="FFD00000"/>
          <x14:colorLast rgb="FFD00000"/>
          <x14:colorHigh rgb="FFD00000"/>
          <x14:colorLow rgb="FFD00000"/>
          <x14:sparklines>
            <x14:sparkline>
              <xm:f>'Area VIIb-k trawlers 10-24m'!D3:N3</xm:f>
              <xm:sqref>C3</xm:sqref>
            </x14:sparkline>
            <x14:sparkline>
              <xm:f>'Area VIIb-k trawlers 10-24m'!D4:N4</xm:f>
              <xm:sqref>C4</xm:sqref>
            </x14:sparkline>
            <x14:sparkline>
              <xm:f>'Area VIIb-k trawlers 10-24m'!D5:N5</xm:f>
              <xm:sqref>C5</xm:sqref>
            </x14:sparkline>
            <x14:sparkline>
              <xm:f>'Area VIIb-k trawlers 10-24m'!D6:N6</xm:f>
              <xm:sqref>C6</xm:sqref>
            </x14:sparkline>
            <x14:sparkline>
              <xm:f>'Area VIIb-k trawlers 10-24m'!D7:N7</xm:f>
              <xm:sqref>C7</xm:sqref>
            </x14:sparkline>
            <x14:sparkline>
              <xm:f>'Area VIIb-k trawlers 10-24m'!D8:N8</xm:f>
              <xm:sqref>C8</xm:sqref>
            </x14:sparkline>
            <x14:sparkline>
              <xm:f>'Area VIIb-k trawlers 10-24m'!D9:N9</xm:f>
              <xm:sqref>C9</xm:sqref>
            </x14:sparkline>
            <x14:sparkline>
              <xm:f>'Area VIIb-k trawlers 10-24m'!D10:N10</xm:f>
              <xm:sqref>C10</xm:sqref>
            </x14:sparkline>
            <x14:sparkline>
              <xm:f>'Area VIIb-k trawlers 10-24m'!D11:N11</xm:f>
              <xm:sqref>C11</xm:sqref>
            </x14:sparkline>
            <x14:sparkline>
              <xm:f>'Area VIIb-k trawlers 10-24m'!D12:N12</xm:f>
              <xm:sqref>C12</xm:sqref>
            </x14:sparkline>
            <x14:sparkline>
              <xm:f>'Area VIIb-k trawlers 10-24m'!D13:N13</xm:f>
              <xm:sqref>C13</xm:sqref>
            </x14:sparkline>
            <x14:sparkline>
              <xm:f>'Area VIIb-k trawlers 10-24m'!D14:N14</xm:f>
              <xm:sqref>C14</xm:sqref>
            </x14:sparkline>
            <x14:sparkline>
              <xm:f>'Area VIIb-k trawlers 10-24m'!D15:N15</xm:f>
              <xm:sqref>C15</xm:sqref>
            </x14:sparkline>
            <x14:sparkline>
              <xm:f>'Area VIIb-k trawlers 10-24m'!D16:N16</xm:f>
              <xm:sqref>C16</xm:sqref>
            </x14:sparkline>
            <x14:sparkline>
              <xm:f>'Area VIIb-k trawlers 10-24m'!D17:N17</xm:f>
              <xm:sqref>C17</xm:sqref>
            </x14:sparkline>
            <x14:sparkline>
              <xm:f>'Area VIIb-k trawlers 10-24m'!D18:N18</xm:f>
              <xm:sqref>C18</xm:sqref>
            </x14:sparkline>
            <x14:sparkline>
              <xm:f>'Area VIIb-k trawlers 10-24m'!D19:N19</xm:f>
              <xm:sqref>C19</xm:sqref>
            </x14:sparkline>
            <x14:sparkline>
              <xm:f>'Area VIIb-k trawlers 10-24m'!D20:N20</xm:f>
              <xm:sqref>C20</xm:sqref>
            </x14:sparkline>
            <x14:sparkline>
              <xm:f>'Area VIIb-k trawlers 10-24m'!D21:N21</xm:f>
              <xm:sqref>C21</xm:sqref>
            </x14:sparkline>
            <x14:sparkline>
              <xm:f>'Area VIIb-k trawlers 10-24m'!D22:N22</xm:f>
              <xm:sqref>C22</xm:sqref>
            </x14:sparkline>
            <x14:sparkline>
              <xm:f>'Area VIIb-k trawlers 10-24m'!D23:N23</xm:f>
              <xm:sqref>C23</xm:sqref>
            </x14:sparkline>
            <x14:sparkline>
              <xm:f>'Area VIIb-k trawlers 10-24m'!D24:N24</xm:f>
              <xm:sqref>C24</xm:sqref>
            </x14:sparkline>
            <x14:sparkline>
              <xm:f>'Area VIIb-k trawlers 10-24m'!D25:N25</xm:f>
              <xm:sqref>C25</xm:sqref>
            </x14:sparkline>
            <x14:sparkline>
              <xm:f>'Area VIIb-k trawlers 10-24m'!D26:N26</xm:f>
              <xm:sqref>C26</xm:sqref>
            </x14:sparkline>
            <x14:sparkline>
              <xm:f>'Area VIIb-k trawlers 10-24m'!D27:N27</xm:f>
              <xm:sqref>C27</xm:sqref>
            </x14:sparkline>
            <x14:sparkline>
              <xm:f>'Area VIIb-k trawlers 10-24m'!D28:N28</xm:f>
              <xm:sqref>C28</xm:sqref>
            </x14:sparkline>
            <x14:sparkline>
              <xm:f>'Area VIIb-k trawlers 10-24m'!D29:N29</xm:f>
              <xm:sqref>C29</xm:sqref>
            </x14:sparkline>
            <x14:sparkline>
              <xm:f>'Area VIIb-k trawlers 10-24m'!D30:N30</xm:f>
              <xm:sqref>C30</xm:sqref>
            </x14:sparkline>
            <x14:sparkline>
              <xm:f>'Area VIIb-k trawlers 10-24m'!D31:N31</xm:f>
              <xm:sqref>C31</xm:sqref>
            </x14:sparkline>
            <x14:sparkline>
              <xm:f>'Area VIIb-k trawlers 10-24m'!D32:N32</xm:f>
              <xm:sqref>C32</xm:sqref>
            </x14:sparkline>
            <x14:sparkline>
              <xm:f>'Area VIIb-k trawlers 10-24m'!D33:N33</xm:f>
              <xm:sqref>C33</xm:sqref>
            </x14:sparkline>
            <x14:sparkline>
              <xm:f>'Area VIIb-k trawlers 10-24m'!D34:N34</xm:f>
              <xm:sqref>C34</xm:sqref>
            </x14:sparkline>
            <x14:sparkline>
              <xm:f>'Area VIIb-k trawlers 10-24m'!D35:N35</xm:f>
              <xm:sqref>C35</xm:sqref>
            </x14:sparkline>
            <x14:sparkline>
              <xm:f>'Area VIIb-k trawlers 10-24m'!D36:N36</xm:f>
              <xm:sqref>C36</xm:sqref>
            </x14:sparkline>
            <x14:sparkline>
              <xm:f>'Area VIIb-k trawlers 10-24m'!D37:N37</xm:f>
              <xm:sqref>C37</xm:sqref>
            </x14:sparkline>
            <x14:sparkline>
              <xm:f>'Area VIIb-k trawlers 10-24m'!D38:N38</xm:f>
              <xm:sqref>C38</xm:sqref>
            </x14:sparkline>
            <x14:sparkline>
              <xm:f>'Area VIIb-k trawlers 10-24m'!D39:N39</xm:f>
              <xm:sqref>C39</xm:sqref>
            </x14:sparkline>
            <x14:sparkline>
              <xm:f>'Area VIIb-k trawlers 10-24m'!D40:N40</xm:f>
              <xm:sqref>C40</xm:sqref>
            </x14:sparkline>
            <x14:sparkline>
              <xm:f>'Area VIIb-k trawlers 10-24m'!D41:N41</xm:f>
              <xm:sqref>C41</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B1209-3C33-49AC-A2E1-DD1BAD57B5B0}">
  <sheetPr codeName="Feuil11">
    <pageSetUpPr fitToPage="1"/>
  </sheetPr>
  <dimension ref="A1:S192"/>
  <sheetViews>
    <sheetView topLeftCell="A43"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15</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39</v>
      </c>
      <c r="E3" s="27">
        <v>41</v>
      </c>
      <c r="F3" s="27">
        <v>40</v>
      </c>
      <c r="G3" s="27">
        <v>37</v>
      </c>
      <c r="H3" s="27">
        <v>36</v>
      </c>
      <c r="I3" s="27">
        <v>31</v>
      </c>
      <c r="J3" s="27">
        <v>30</v>
      </c>
      <c r="K3" s="27">
        <v>30</v>
      </c>
      <c r="L3" s="27">
        <v>26</v>
      </c>
      <c r="M3" s="27">
        <v>27</v>
      </c>
      <c r="N3" s="27">
        <v>26</v>
      </c>
      <c r="O3" s="28">
        <f t="shared" ref="O3:O41" si="0">IF(N3=0,"",IFERROR(IF(AND(N3&gt;0,D3&lt;0),"na",IF(AND(N3&lt;0,D3&lt;0),-1,1)*(N3-D3)/D3),""))</f>
        <v>-0.33333333333333331</v>
      </c>
      <c r="P3" s="28">
        <f t="shared" ref="P3:P41" si="1">IF(N3=0,"",IFERROR(IF(AND(N3&gt;0,J3&lt;0),"na",IF(AND(N3&lt;0,J3&lt;0),-1,1)*(N3-J3)/J3),""))</f>
        <v>-0.13333333333333333</v>
      </c>
      <c r="Q3" s="206"/>
    </row>
    <row r="4" spans="1:17" ht="18" customHeight="1">
      <c r="A4" s="172"/>
      <c r="B4" s="29" t="s">
        <v>184</v>
      </c>
      <c r="C4" s="30"/>
      <c r="D4" s="30">
        <v>10872</v>
      </c>
      <c r="E4" s="30">
        <v>11743</v>
      </c>
      <c r="F4" s="30">
        <v>12211</v>
      </c>
      <c r="G4" s="30">
        <v>11722</v>
      </c>
      <c r="H4" s="30">
        <v>11356</v>
      </c>
      <c r="I4" s="30">
        <v>10328</v>
      </c>
      <c r="J4" s="30">
        <v>9283</v>
      </c>
      <c r="K4" s="30">
        <v>8430</v>
      </c>
      <c r="L4" s="30">
        <v>7869</v>
      </c>
      <c r="M4" s="30">
        <v>8301</v>
      </c>
      <c r="N4" s="30">
        <v>8447</v>
      </c>
      <c r="O4" s="28">
        <f t="shared" si="0"/>
        <v>-0.22305003679175864</v>
      </c>
      <c r="P4" s="28">
        <f t="shared" si="1"/>
        <v>-9.0057093611978889E-2</v>
      </c>
      <c r="Q4" s="206"/>
    </row>
    <row r="5" spans="1:17" ht="18" customHeight="1">
      <c r="A5" s="172"/>
      <c r="B5" s="29" t="s">
        <v>185</v>
      </c>
      <c r="C5" s="30"/>
      <c r="D5" s="30">
        <v>4220</v>
      </c>
      <c r="E5" s="30">
        <v>4437</v>
      </c>
      <c r="F5" s="30">
        <v>4886</v>
      </c>
      <c r="G5" s="30">
        <v>4753</v>
      </c>
      <c r="H5" s="30">
        <v>4426</v>
      </c>
      <c r="I5" s="30">
        <v>4342</v>
      </c>
      <c r="J5" s="30">
        <v>3891</v>
      </c>
      <c r="K5" s="30">
        <v>3399</v>
      </c>
      <c r="L5" s="30">
        <v>3244</v>
      </c>
      <c r="M5" s="30">
        <v>3469</v>
      </c>
      <c r="N5" s="30">
        <v>3597</v>
      </c>
      <c r="O5" s="28">
        <f t="shared" si="0"/>
        <v>-0.1476303317535545</v>
      </c>
      <c r="P5" s="28">
        <f t="shared" si="1"/>
        <v>-7.5558982266769464E-2</v>
      </c>
      <c r="Q5" s="207"/>
    </row>
    <row r="6" spans="1:17" ht="18" customHeight="1">
      <c r="A6" s="172"/>
      <c r="B6" s="29" t="s">
        <v>186</v>
      </c>
      <c r="C6" s="30"/>
      <c r="D6" s="30">
        <v>9461.3701171875</v>
      </c>
      <c r="E6" s="30">
        <v>10121.89453125</v>
      </c>
      <c r="F6" s="30">
        <v>10586.955078125</v>
      </c>
      <c r="G6" s="30">
        <v>10070.4033203125</v>
      </c>
      <c r="H6" s="30">
        <v>9688.744140625</v>
      </c>
      <c r="I6" s="30">
        <v>8973.2890625</v>
      </c>
      <c r="J6" s="30">
        <v>8074.69091796875</v>
      </c>
      <c r="K6" s="30">
        <v>7347.84619140625</v>
      </c>
      <c r="L6" s="30">
        <v>6782.00537109375</v>
      </c>
      <c r="M6" s="30">
        <v>7206.5537109375</v>
      </c>
      <c r="N6" s="30">
        <v>7271.75439453125</v>
      </c>
      <c r="O6" s="28">
        <f t="shared" si="0"/>
        <v>-0.23142691761720641</v>
      </c>
      <c r="P6" s="28">
        <f t="shared" si="1"/>
        <v>-9.9438669739136565E-2</v>
      </c>
      <c r="Q6" s="206"/>
    </row>
    <row r="7" spans="1:17" ht="18" customHeight="1">
      <c r="A7" s="172"/>
      <c r="B7" s="29" t="s">
        <v>187</v>
      </c>
      <c r="C7" s="30"/>
      <c r="D7" s="30">
        <v>5426.44091796875</v>
      </c>
      <c r="E7" s="30">
        <v>7613.13330078125</v>
      </c>
      <c r="F7" s="30">
        <v>8921.115234375</v>
      </c>
      <c r="G7" s="30">
        <v>9466.8291015625</v>
      </c>
      <c r="H7" s="30">
        <v>8903.1083984375</v>
      </c>
      <c r="I7" s="30">
        <v>7702.2734375</v>
      </c>
      <c r="J7" s="30">
        <v>8023.09765625</v>
      </c>
      <c r="K7" s="30">
        <v>8105.48974609375</v>
      </c>
      <c r="L7" s="30">
        <v>8388.64453125</v>
      </c>
      <c r="M7" s="30">
        <v>8288.2509765625</v>
      </c>
      <c r="N7" s="30">
        <v>7805.611328125</v>
      </c>
      <c r="O7" s="28">
        <f t="shared" si="0"/>
        <v>0.43844030481895152</v>
      </c>
      <c r="P7" s="28">
        <f t="shared" si="1"/>
        <v>-2.7107525976027221E-2</v>
      </c>
      <c r="Q7" s="206"/>
    </row>
    <row r="8" spans="1:17" ht="18" customHeight="1">
      <c r="A8" s="172"/>
      <c r="B8" s="29" t="s">
        <v>188</v>
      </c>
      <c r="C8" s="31"/>
      <c r="D8" s="31">
        <f ca="1">18.967238*OFFSET(D$112,MATCH($N$1,$C$112:$C$113,0)-1,0)</f>
        <v>18.967237999999998</v>
      </c>
      <c r="E8" s="31">
        <f ca="1">22.716014*OFFSET(E$112,MATCH($N$1,$C$112:$C$113,0)-1,0)</f>
        <v>22.716014000000001</v>
      </c>
      <c r="F8" s="31">
        <f ca="1">22.947696*OFFSET(F$112,MATCH($N$1,$C$112:$C$113,0)-1,0)</f>
        <v>22.947696000000001</v>
      </c>
      <c r="G8" s="31">
        <f ca="1">20.802694*OFFSET(G$112,MATCH($N$1,$C$112:$C$113,0)-1,0)</f>
        <v>20.802693999999999</v>
      </c>
      <c r="H8" s="31">
        <f ca="1">22.085676*OFFSET(H$112,MATCH($N$1,$C$112:$C$113,0)-1,0)</f>
        <v>22.085675999999999</v>
      </c>
      <c r="I8" s="31">
        <f ca="1">19.26695*OFFSET(I$112,MATCH($N$1,$C$112:$C$113,0)-1,0)</f>
        <v>19.266950000000001</v>
      </c>
      <c r="J8" s="31">
        <f ca="1">20.208244*OFFSET(J$112,MATCH($N$1,$C$112:$C$113,0)-1,0)</f>
        <v>20.208244000000001</v>
      </c>
      <c r="K8" s="31">
        <f ca="1">16.377062*OFFSET(K$112,MATCH($N$1,$C$112:$C$113,0)-1,0)</f>
        <v>16.377061999999999</v>
      </c>
      <c r="L8" s="31">
        <f ca="1">15.670331*OFFSET(L$112,MATCH($N$1,$C$112:$C$113,0)-1,0)</f>
        <v>15.670330999999999</v>
      </c>
      <c r="M8" s="31">
        <f ca="1">21.069604*OFFSET(M$112,MATCH($N$1,$C$112:$C$113,0)-1,0)</f>
        <v>21.069604000000002</v>
      </c>
      <c r="N8" s="31">
        <v>13.565379</v>
      </c>
      <c r="O8" s="28">
        <f t="shared" ca="1" si="0"/>
        <v>-0.28479945261402839</v>
      </c>
      <c r="P8" s="28">
        <f t="shared" ca="1" si="1"/>
        <v>-0.32872054593165051</v>
      </c>
      <c r="Q8" s="206"/>
    </row>
    <row r="9" spans="1:17" ht="18" customHeight="1">
      <c r="A9" s="172"/>
      <c r="B9" s="29" t="s">
        <v>189</v>
      </c>
      <c r="C9" s="30"/>
      <c r="D9" s="30">
        <v>6368</v>
      </c>
      <c r="E9" s="30">
        <v>6757</v>
      </c>
      <c r="F9" s="30">
        <v>6395</v>
      </c>
      <c r="G9" s="30">
        <v>6179</v>
      </c>
      <c r="H9" s="30">
        <v>6089</v>
      </c>
      <c r="I9" s="30">
        <v>5498</v>
      </c>
      <c r="J9" s="30">
        <v>5250</v>
      </c>
      <c r="K9" s="30">
        <v>4803</v>
      </c>
      <c r="L9" s="30">
        <v>4447</v>
      </c>
      <c r="M9" s="30">
        <v>4514</v>
      </c>
      <c r="N9" s="30">
        <v>4162</v>
      </c>
      <c r="O9" s="28">
        <f t="shared" si="0"/>
        <v>-0.34641959798994976</v>
      </c>
      <c r="P9" s="28">
        <f t="shared" si="1"/>
        <v>-0.20723809523809525</v>
      </c>
      <c r="Q9" s="206"/>
    </row>
    <row r="10" spans="1:17" ht="18" customHeight="1">
      <c r="A10" s="172"/>
      <c r="B10" s="29" t="s">
        <v>190</v>
      </c>
      <c r="C10" s="30"/>
      <c r="D10" s="30">
        <v>245.77323913574219</v>
      </c>
      <c r="E10" s="30">
        <v>275.76046752929688</v>
      </c>
      <c r="F10" s="30">
        <v>291.25042724609375</v>
      </c>
      <c r="G10" s="30">
        <v>127.24980926513672</v>
      </c>
      <c r="H10" s="30">
        <v>378.7381591796875</v>
      </c>
      <c r="I10" s="30">
        <v>349.62881469726563</v>
      </c>
      <c r="J10" s="30">
        <v>343.75100708007813</v>
      </c>
      <c r="K10" s="30">
        <v>142.70172119140625</v>
      </c>
      <c r="L10" s="30">
        <v>229.20948791503906</v>
      </c>
      <c r="M10" s="30">
        <v>172.70378112792969</v>
      </c>
      <c r="N10" s="30">
        <v>170.72715759277344</v>
      </c>
      <c r="O10" s="32">
        <f t="shared" si="0"/>
        <v>-0.30534683843882737</v>
      </c>
      <c r="P10" s="32">
        <f t="shared" si="1"/>
        <v>-0.50334063296867115</v>
      </c>
      <c r="Q10" s="206"/>
    </row>
    <row r="11" spans="1:17" ht="18" customHeight="1">
      <c r="A11" s="173" t="s">
        <v>191</v>
      </c>
      <c r="B11" s="33" t="s">
        <v>192</v>
      </c>
      <c r="C11" s="34"/>
      <c r="D11" s="34">
        <v>19.409744262695313</v>
      </c>
      <c r="E11" s="34">
        <v>19.333658218383789</v>
      </c>
      <c r="F11" s="34">
        <v>20.222999572753906</v>
      </c>
      <c r="G11" s="34">
        <v>20.446216583251953</v>
      </c>
      <c r="H11" s="34">
        <v>20.08305549621582</v>
      </c>
      <c r="I11" s="34">
        <v>21.139032363891602</v>
      </c>
      <c r="J11" s="34">
        <v>19.9913330078125</v>
      </c>
      <c r="K11" s="34">
        <v>19.017000198364258</v>
      </c>
      <c r="L11" s="34">
        <v>19.611537933349609</v>
      </c>
      <c r="M11" s="34">
        <v>19.873703002929688</v>
      </c>
      <c r="N11" s="34">
        <v>20.24615478515625</v>
      </c>
      <c r="O11" s="28">
        <f t="shared" si="0"/>
        <v>4.3092299988129273E-2</v>
      </c>
      <c r="P11" s="28">
        <f t="shared" si="1"/>
        <v>1.2746612606781503E-2</v>
      </c>
      <c r="Q11" s="206"/>
    </row>
    <row r="12" spans="1:17" ht="18" customHeight="1">
      <c r="A12" s="174"/>
      <c r="B12" s="35" t="s">
        <v>184</v>
      </c>
      <c r="C12" s="30"/>
      <c r="D12" s="30">
        <v>278.76922607421875</v>
      </c>
      <c r="E12" s="30">
        <v>286.41464233398438</v>
      </c>
      <c r="F12" s="30">
        <v>305.27499389648438</v>
      </c>
      <c r="G12" s="30">
        <v>316.81082153320313</v>
      </c>
      <c r="H12" s="30">
        <v>315.4444580078125</v>
      </c>
      <c r="I12" s="30">
        <v>333.16128540039063</v>
      </c>
      <c r="J12" s="30">
        <v>309.43331909179688</v>
      </c>
      <c r="K12" s="30">
        <v>281</v>
      </c>
      <c r="L12" s="30">
        <v>302.65383911132813</v>
      </c>
      <c r="M12" s="30">
        <v>307.4444580078125</v>
      </c>
      <c r="N12" s="30">
        <v>324.88461303710938</v>
      </c>
      <c r="O12" s="28">
        <f t="shared" si="0"/>
        <v>0.16542495601940291</v>
      </c>
      <c r="P12" s="28">
        <f t="shared" si="1"/>
        <v>4.9934163491710794E-2</v>
      </c>
      <c r="Q12" s="206"/>
    </row>
    <row r="13" spans="1:17" ht="18" customHeight="1">
      <c r="A13" s="174"/>
      <c r="B13" s="35" t="s">
        <v>185</v>
      </c>
      <c r="C13" s="30"/>
      <c r="D13" s="30">
        <v>108.20513153076172</v>
      </c>
      <c r="E13" s="30">
        <v>108.21951293945313</v>
      </c>
      <c r="F13" s="30">
        <v>122.15000152587891</v>
      </c>
      <c r="G13" s="30">
        <v>128.45945739746094</v>
      </c>
      <c r="H13" s="30">
        <v>122.94444274902344</v>
      </c>
      <c r="I13" s="30">
        <v>140.06451416015625</v>
      </c>
      <c r="J13" s="30">
        <v>129.69999694824219</v>
      </c>
      <c r="K13" s="30">
        <v>113.30000305175781</v>
      </c>
      <c r="L13" s="30">
        <v>124.76923370361328</v>
      </c>
      <c r="M13" s="30">
        <v>128.48147583007813</v>
      </c>
      <c r="N13" s="30">
        <v>138.34616088867188</v>
      </c>
      <c r="O13" s="28">
        <f t="shared" si="0"/>
        <v>0.2785545281587809</v>
      </c>
      <c r="P13" s="28">
        <f t="shared" si="1"/>
        <v>6.6662792165523399E-2</v>
      </c>
      <c r="Q13" s="206"/>
    </row>
    <row r="14" spans="1:17" ht="18" customHeight="1">
      <c r="A14" s="174"/>
      <c r="B14" s="35" t="s">
        <v>186</v>
      </c>
      <c r="C14" s="30"/>
      <c r="D14" s="30">
        <v>242.59922790527344</v>
      </c>
      <c r="E14" s="30">
        <v>246.87547302246094</v>
      </c>
      <c r="F14" s="30">
        <v>264.67385864257813</v>
      </c>
      <c r="G14" s="30">
        <v>272.17306518554688</v>
      </c>
      <c r="H14" s="30">
        <v>269.13177490234375</v>
      </c>
      <c r="I14" s="30">
        <v>289.4609375</v>
      </c>
      <c r="J14" s="30">
        <v>269.1563720703125</v>
      </c>
      <c r="K14" s="30">
        <v>244.92820739746094</v>
      </c>
      <c r="L14" s="30">
        <v>260.84637451171875</v>
      </c>
      <c r="M14" s="30">
        <v>266.90939331054688</v>
      </c>
      <c r="N14" s="30">
        <v>279.682861328125</v>
      </c>
      <c r="O14" s="28">
        <f t="shared" si="0"/>
        <v>0.1528596514632414</v>
      </c>
      <c r="P14" s="28">
        <f t="shared" si="1"/>
        <v>3.9109195806304876E-2</v>
      </c>
      <c r="Q14" s="206"/>
    </row>
    <row r="15" spans="1:17" ht="18" customHeight="1">
      <c r="A15" s="174"/>
      <c r="B15" s="35" t="s">
        <v>187</v>
      </c>
      <c r="C15" s="31"/>
      <c r="D15" s="31">
        <v>139.13951110839844</v>
      </c>
      <c r="E15" s="31">
        <v>185.68618774414063</v>
      </c>
      <c r="F15" s="31">
        <v>223.02787780761719</v>
      </c>
      <c r="G15" s="31">
        <v>255.86026000976563</v>
      </c>
      <c r="H15" s="31">
        <v>247.30856323242188</v>
      </c>
      <c r="I15" s="31">
        <v>248.46043395996094</v>
      </c>
      <c r="J15" s="31">
        <v>267.43658447265625</v>
      </c>
      <c r="K15" s="31">
        <v>270.1829833984375</v>
      </c>
      <c r="L15" s="31">
        <v>322.64016723632813</v>
      </c>
      <c r="M15" s="31">
        <v>306.97225952148438</v>
      </c>
      <c r="N15" s="31">
        <v>300.2158203125</v>
      </c>
      <c r="O15" s="28">
        <f t="shared" si="0"/>
        <v>1.1576604511612303</v>
      </c>
      <c r="P15" s="28">
        <f t="shared" si="1"/>
        <v>0.12256825633814968</v>
      </c>
      <c r="Q15" s="206"/>
    </row>
    <row r="16" spans="1:17" ht="18" customHeight="1">
      <c r="A16" s="174"/>
      <c r="B16" s="35" t="s">
        <v>193</v>
      </c>
      <c r="C16" s="31"/>
      <c r="D16" s="31">
        <f ca="1">486.33940625*OFFSET(D$112,MATCH($N$1,$C$112:$C$113,0)-1,0)</f>
        <v>486.33940625000002</v>
      </c>
      <c r="E16" s="31">
        <f ca="1">554.049125*OFFSET(E$112,MATCH($N$1,$C$112:$C$113,0)-1,0)</f>
        <v>554.049125</v>
      </c>
      <c r="F16" s="31">
        <f ca="1">573.692375*OFFSET(F$112,MATCH($N$1,$C$112:$C$113,0)-1,0)</f>
        <v>573.69237499999997</v>
      </c>
      <c r="G16" s="31">
        <f ca="1">562.2349375*OFFSET(G$112,MATCH($N$1,$C$112:$C$113,0)-1,0)</f>
        <v>562.2349375</v>
      </c>
      <c r="H16" s="31">
        <f ca="1">613.491*OFFSET(H$112,MATCH($N$1,$C$112:$C$113,0)-1,0)</f>
        <v>613.49099999999999</v>
      </c>
      <c r="I16" s="31">
        <f ca="1">621.5145*OFFSET(I$112,MATCH($N$1,$C$112:$C$113,0)-1,0)</f>
        <v>621.5145</v>
      </c>
      <c r="J16" s="31">
        <f ca="1">673.608125*OFFSET(J$112,MATCH($N$1,$C$112:$C$113,0)-1,0)</f>
        <v>673.60812499999997</v>
      </c>
      <c r="K16" s="31">
        <f ca="1">545.9020625*OFFSET(K$112,MATCH($N$1,$C$112:$C$113,0)-1,0)</f>
        <v>545.90206250000006</v>
      </c>
      <c r="L16" s="31">
        <f ca="1">602.7050625*OFFSET(L$112,MATCH($N$1,$C$112:$C$113,0)-1,0)</f>
        <v>602.70506250000005</v>
      </c>
      <c r="M16" s="31">
        <f ca="1">780.35575*OFFSET(M$112,MATCH($N$1,$C$112:$C$113,0)-1,0)</f>
        <v>780.35574999999994</v>
      </c>
      <c r="N16" s="31">
        <v>521.74534374999996</v>
      </c>
      <c r="O16" s="28">
        <f t="shared" ca="1" si="0"/>
        <v>7.2800881534571177E-2</v>
      </c>
      <c r="P16" s="28">
        <f t="shared" ca="1" si="1"/>
        <v>-0.22544677775375707</v>
      </c>
      <c r="Q16" s="206"/>
    </row>
    <row r="17" spans="1:16" ht="18" customHeight="1">
      <c r="A17" s="174"/>
      <c r="B17" s="35" t="s">
        <v>189</v>
      </c>
      <c r="C17" s="30"/>
      <c r="D17" s="30">
        <v>163.28205871582031</v>
      </c>
      <c r="E17" s="30">
        <v>164.80487060546875</v>
      </c>
      <c r="F17" s="30">
        <v>159.875</v>
      </c>
      <c r="G17" s="30">
        <v>167</v>
      </c>
      <c r="H17" s="30">
        <v>169.13888549804688</v>
      </c>
      <c r="I17" s="30">
        <v>177.35484313964844</v>
      </c>
      <c r="J17" s="30">
        <v>175</v>
      </c>
      <c r="K17" s="30">
        <v>160.10000610351563</v>
      </c>
      <c r="L17" s="30">
        <v>171.03846740722656</v>
      </c>
      <c r="M17" s="30">
        <v>167.1851806640625</v>
      </c>
      <c r="N17" s="30">
        <v>160.07691955566406</v>
      </c>
      <c r="O17" s="28">
        <f t="shared" si="0"/>
        <v>-1.9629463183916274E-2</v>
      </c>
      <c r="P17" s="28">
        <f t="shared" si="1"/>
        <v>-8.5274745396205359E-2</v>
      </c>
    </row>
    <row r="18" spans="1:16" ht="18" customHeight="1">
      <c r="A18" s="174"/>
      <c r="B18" s="35" t="s">
        <v>194</v>
      </c>
      <c r="C18" s="30"/>
      <c r="D18" s="30">
        <v>29.512821197509766</v>
      </c>
      <c r="E18" s="30">
        <v>29.317073822021484</v>
      </c>
      <c r="F18" s="30">
        <v>30.049999237060547</v>
      </c>
      <c r="G18" s="30">
        <v>30.837837219238281</v>
      </c>
      <c r="H18" s="30">
        <v>30.166666030883789</v>
      </c>
      <c r="I18" s="30">
        <v>31.677419662475586</v>
      </c>
      <c r="J18" s="30">
        <v>32.566665649414063</v>
      </c>
      <c r="K18" s="30">
        <v>34.299999237060547</v>
      </c>
      <c r="L18" s="30">
        <v>34.769229888916016</v>
      </c>
      <c r="M18" s="30">
        <v>34.814815521240234</v>
      </c>
      <c r="N18" s="30">
        <v>35.192306518554688</v>
      </c>
      <c r="O18" s="28">
        <f t="shared" si="0"/>
        <v>0.19244128790791934</v>
      </c>
      <c r="P18" s="28">
        <f t="shared" si="1"/>
        <v>8.0623570659830973E-2</v>
      </c>
    </row>
    <row r="19" spans="1:16" ht="18" customHeight="1">
      <c r="A19" s="174"/>
      <c r="B19" s="35" t="s">
        <v>195</v>
      </c>
      <c r="C19" s="36"/>
      <c r="D19" s="36">
        <v>0.8521420955657959</v>
      </c>
      <c r="E19" s="36">
        <v>1.1267032623291016</v>
      </c>
      <c r="F19" s="36">
        <v>1.3950140476226807</v>
      </c>
      <c r="G19" s="36">
        <v>1.532097339630127</v>
      </c>
      <c r="H19" s="36">
        <v>1.4621626138687134</v>
      </c>
      <c r="I19" s="36">
        <v>1.4009227752685547</v>
      </c>
      <c r="J19" s="36">
        <v>1.5282090902328491</v>
      </c>
      <c r="K19" s="36">
        <v>1.6875888109207153</v>
      </c>
      <c r="L19" s="36">
        <v>1.8863602876663208</v>
      </c>
      <c r="M19" s="36">
        <v>1.8361212015151978</v>
      </c>
      <c r="N19" s="36">
        <v>1.8754472732543945</v>
      </c>
      <c r="O19" s="28">
        <f t="shared" si="0"/>
        <v>1.2008621367415908</v>
      </c>
      <c r="P19" s="28">
        <f t="shared" si="1"/>
        <v>0.22721902731820398</v>
      </c>
    </row>
    <row r="20" spans="1:16" ht="18" customHeight="1">
      <c r="A20" s="175"/>
      <c r="B20" s="37" t="s">
        <v>196</v>
      </c>
      <c r="C20" s="38"/>
      <c r="D20" s="38">
        <f ca="1">3495*OFFSET(D$112,MATCH($N$1,$C$112:$C$113,0)-1,0)</f>
        <v>3495</v>
      </c>
      <c r="E20" s="38">
        <f ca="1">2984*OFFSET(E$112,MATCH($N$1,$C$112:$C$113,0)-1,0)</f>
        <v>2984</v>
      </c>
      <c r="F20" s="38">
        <f ca="1">2572*OFFSET(F$112,MATCH($N$1,$C$112:$C$113,0)-1,0)</f>
        <v>2572</v>
      </c>
      <c r="G20" s="38">
        <f ca="1">2197*OFFSET(G$112,MATCH($N$1,$C$112:$C$113,0)-1,0)</f>
        <v>2197</v>
      </c>
      <c r="H20" s="38">
        <f ca="1">2481*OFFSET(H$112,MATCH($N$1,$C$112:$C$113,0)-1,0)</f>
        <v>2481</v>
      </c>
      <c r="I20" s="38">
        <f ca="1">2501*OFFSET(I$112,MATCH($N$1,$C$112:$C$113,0)-1,0)</f>
        <v>2501</v>
      </c>
      <c r="J20" s="38">
        <f ca="1">2519*OFFSET(J$112,MATCH($N$1,$C$112:$C$113,0)-1,0)</f>
        <v>2519</v>
      </c>
      <c r="K20" s="38">
        <f ca="1">2020*OFFSET(K$112,MATCH($N$1,$C$112:$C$113,0)-1,0)</f>
        <v>2020</v>
      </c>
      <c r="L20" s="38">
        <f ca="1">1868*OFFSET(L$112,MATCH($N$1,$C$112:$C$113,0)-1,0)</f>
        <v>1868</v>
      </c>
      <c r="M20" s="38">
        <f ca="1">2542*OFFSET(M$112,MATCH($N$1,$C$112:$C$113,0)-1,0)</f>
        <v>2542</v>
      </c>
      <c r="N20" s="38">
        <v>1738</v>
      </c>
      <c r="O20" s="32">
        <f t="shared" ca="1" si="0"/>
        <v>-0.50271816881258946</v>
      </c>
      <c r="P20" s="32">
        <f t="shared" ca="1" si="1"/>
        <v>-0.31004366812227074</v>
      </c>
    </row>
    <row r="21" spans="1:16" ht="18" customHeight="1">
      <c r="A21" s="176" t="s">
        <v>197</v>
      </c>
      <c r="B21" s="33" t="s">
        <v>198</v>
      </c>
      <c r="C21" s="39"/>
      <c r="D21" s="39">
        <v>2.5216927733632066</v>
      </c>
      <c r="E21" s="39">
        <v>3.1100025314419253</v>
      </c>
      <c r="F21" s="39">
        <v>3.7437948670724865</v>
      </c>
      <c r="G21" s="39">
        <v>3.8668642969403821</v>
      </c>
      <c r="H21" s="39">
        <v>3.8573823137558154</v>
      </c>
      <c r="I21" s="39">
        <v>3.5905692295931111</v>
      </c>
      <c r="J21" s="39">
        <v>4.0660049621417915</v>
      </c>
      <c r="K21" s="39">
        <v>4.7682826519038253</v>
      </c>
      <c r="L21" s="39">
        <v>5.1229019903094182</v>
      </c>
      <c r="M21" s="39">
        <v>5.0814779155069756</v>
      </c>
      <c r="N21" s="39">
        <v>4.6612935761754963</v>
      </c>
      <c r="O21" s="28">
        <f t="shared" si="0"/>
        <v>0.84847798487310688</v>
      </c>
      <c r="P21" s="28">
        <f t="shared" si="1"/>
        <v>0.14640626845672444</v>
      </c>
    </row>
    <row r="22" spans="1:16" ht="18" customHeight="1">
      <c r="A22" s="176"/>
      <c r="B22" s="35" t="s">
        <v>199</v>
      </c>
      <c r="C22" s="36"/>
      <c r="D22" s="36">
        <f ca="1">8.81416469249296*OFFSET(D$112,MATCH($N$1,$C$112:$C$113,0)-1,0)</f>
        <v>8.8141646924929606</v>
      </c>
      <c r="E22" s="36">
        <f ca="1">9.27960341168433*OFFSET(E$112,MATCH($N$1,$C$112:$C$113,0)-1,0)</f>
        <v>9.2796034116843291</v>
      </c>
      <c r="F22" s="36">
        <f ca="1">9.63012601795142*OFFSET(F$112,MATCH($N$1,$C$112:$C$113,0)-1,0)</f>
        <v>9.6301260179514205</v>
      </c>
      <c r="G22" s="36">
        <f ca="1">8.49716249889013*OFFSET(G$112,MATCH($N$1,$C$112:$C$113,0)-1,0)</f>
        <v>8.4971624988901304</v>
      </c>
      <c r="H22" s="36">
        <f ca="1">9.56889362065619*OFFSET(H$112,MATCH($N$1,$C$112:$C$113,0)-1,0)</f>
        <v>9.5688936206561905</v>
      </c>
      <c r="I22" s="36">
        <f ca="1">8.98167488432209*OFFSET(I$112,MATCH($N$1,$C$112:$C$113,0)-1,0)</f>
        <v>8.9816748843220893</v>
      </c>
      <c r="J22" s="36">
        <f ca="1">10.2412838699302*OFFSET(J$112,MATCH($N$1,$C$112:$C$113,0)-1,0)</f>
        <v>10.2412838699302</v>
      </c>
      <c r="K22" s="36">
        <f ca="1">9.63426823375702*OFFSET(K$112,MATCH($N$1,$C$112:$C$113,0)-1,0)</f>
        <v>9.6342682337570196</v>
      </c>
      <c r="L22" s="36">
        <f ca="1">9.56979098634424*OFFSET(L$112,MATCH($N$1,$C$112:$C$113,0)-1,0)</f>
        <v>9.5697909863442394</v>
      </c>
      <c r="M22" s="36">
        <f ca="1">12.9176509826822*OFFSET(M$112,MATCH($N$1,$C$112:$C$113,0)-1,0)</f>
        <v>12.917650982682201</v>
      </c>
      <c r="N22" s="36">
        <v>8.1008662924220012</v>
      </c>
      <c r="O22" s="28">
        <f t="shared" ca="1" si="0"/>
        <v>-8.0926375323855354E-2</v>
      </c>
      <c r="P22" s="28">
        <f t="shared" ca="1" si="1"/>
        <v>-0.20899895019927681</v>
      </c>
    </row>
    <row r="23" spans="1:16" ht="18" customHeight="1">
      <c r="A23" s="176"/>
      <c r="B23" s="35" t="s">
        <v>154</v>
      </c>
      <c r="C23" s="36"/>
      <c r="D23" s="36">
        <f ca="1">6.28947749781793*OFFSET(D$112,MATCH($N$1,$C$112:$C$113,0)-1,0)</f>
        <v>6.2894774978179298</v>
      </c>
      <c r="E23" s="36">
        <f ca="1">8.6474435319328*OFFSET(E$112,MATCH($N$1,$C$112:$C$113,0)-1,0)</f>
        <v>8.6474435319327991</v>
      </c>
      <c r="F23" s="36">
        <f ca="1">7.35328021412921*OFFSET(F$112,MATCH($N$1,$C$112:$C$113,0)-1,0)</f>
        <v>7.3532802141292102</v>
      </c>
      <c r="G23" s="36">
        <f ca="1">7.53394422100015*OFFSET(G$112,MATCH($N$1,$C$112:$C$113,0)-1,0)</f>
        <v>7.5339442210001497</v>
      </c>
      <c r="H23" s="36">
        <f ca="1">7.40519953704826*OFFSET(H$112,MATCH($N$1,$C$112:$C$113,0)-1,0)</f>
        <v>7.4051995370482597</v>
      </c>
      <c r="I23" s="36">
        <f ca="1">6.7344515042419*OFFSET(I$112,MATCH($N$1,$C$112:$C$113,0)-1,0)</f>
        <v>6.7344515042418998</v>
      </c>
      <c r="J23" s="36">
        <f ca="1">8.14259980038745*OFFSET(J$112,MATCH($N$1,$C$112:$C$113,0)-1,0)</f>
        <v>8.1425998003874493</v>
      </c>
      <c r="K23" s="36">
        <f ca="1">8.3833665006757*OFFSET(K$112,MATCH($N$1,$C$112:$C$113,0)-1,0)</f>
        <v>8.3833665006757006</v>
      </c>
      <c r="L23" s="36">
        <f ca="1">8.53992370713851*OFFSET(L$112,MATCH($N$1,$C$112:$C$113,0)-1,0)</f>
        <v>8.5399237071385095</v>
      </c>
      <c r="M23" s="36">
        <f ca="1">11.2550531696625*OFFSET(M$112,MATCH($N$1,$C$112:$C$113,0)-1,0)</f>
        <v>11.255053169662499</v>
      </c>
      <c r="N23" s="36">
        <v>8.0531498548699112</v>
      </c>
      <c r="O23" s="28">
        <f t="shared" ca="1" si="0"/>
        <v>0.2804163553592281</v>
      </c>
      <c r="P23" s="28">
        <f t="shared" ca="1" si="1"/>
        <v>-1.0985428206023566E-2</v>
      </c>
    </row>
    <row r="24" spans="1:16" ht="18" customHeight="1">
      <c r="A24" s="176"/>
      <c r="B24" s="35" t="s">
        <v>155</v>
      </c>
      <c r="C24" s="36"/>
      <c r="D24" s="36">
        <f ca="1">2.52468719467504*OFFSET(D$112,MATCH($N$1,$C$112:$C$113,0)-1,0)</f>
        <v>2.5246871946750402</v>
      </c>
      <c r="E24" s="36">
        <f ca="1">0.639238661603412*OFFSET(E$112,MATCH($N$1,$C$112:$C$113,0)-1,0)</f>
        <v>0.63923866160341203</v>
      </c>
      <c r="F24" s="36">
        <f ca="1">2.27684580382221*OFFSET(F$112,MATCH($N$1,$C$112:$C$113,0)-1,0)</f>
        <v>2.2768458038222099</v>
      </c>
      <c r="G24" s="36">
        <f ca="1">0.963218277889972*OFFSET(G$112,MATCH($N$1,$C$112:$C$113,0)-1,0)</f>
        <v>0.96321827788997205</v>
      </c>
      <c r="H24" s="36">
        <f ca="1">2.55778787252157*OFFSET(H$112,MATCH($N$1,$C$112:$C$113,0)-1,0)</f>
        <v>2.5577878725215699</v>
      </c>
      <c r="I24" s="36">
        <f ca="1">3.07006089404599*OFFSET(I$112,MATCH($N$1,$C$112:$C$113,0)-1,0)</f>
        <v>3.0700608940459899</v>
      </c>
      <c r="J24" s="36">
        <f ca="1">2.09894042626682*OFFSET(J$112,MATCH($N$1,$C$112:$C$113,0)-1,0)</f>
        <v>2.0989404262668199</v>
      </c>
      <c r="K24" s="36">
        <f ca="1">1.30854623201273*OFFSET(K$112,MATCH($N$1,$C$112:$C$113,0)-1,0)</f>
        <v>1.3085462320127299</v>
      </c>
      <c r="L24" s="36">
        <f ca="1">1.02993369046578*OFFSET(L$112,MATCH($N$1,$C$112:$C$113,0)-1,0)</f>
        <v>1.0299336904657801</v>
      </c>
      <c r="M24" s="36">
        <f ca="1">1.6626768537331*OFFSET(M$112,MATCH($N$1,$C$112:$C$113,0)-1,0)</f>
        <v>1.6626768537331</v>
      </c>
      <c r="N24" s="36">
        <v>0.14730266001276324</v>
      </c>
      <c r="O24" s="28">
        <f t="shared" ca="1" si="0"/>
        <v>-0.94165508490578642</v>
      </c>
      <c r="P24" s="28">
        <f t="shared" ca="1" si="1"/>
        <v>-0.92982046647471739</v>
      </c>
    </row>
    <row r="25" spans="1:16" ht="18" customHeight="1">
      <c r="A25" s="176"/>
      <c r="B25" s="35" t="s">
        <v>200</v>
      </c>
      <c r="C25" s="31"/>
      <c r="D25" s="31">
        <f ca="1">77.17*OFFSET(D$112,MATCH($N$1,$C$112:$C$113,0)-1,0)</f>
        <v>77.17</v>
      </c>
      <c r="E25" s="31">
        <f ca="1">82.37*OFFSET(E$112,MATCH($N$1,$C$112:$C$113,0)-1,0)</f>
        <v>82.37</v>
      </c>
      <c r="F25" s="31">
        <f ca="1">78.79*OFFSET(F$112,MATCH($N$1,$C$112:$C$113,0)-1,0)</f>
        <v>78.790000000000006</v>
      </c>
      <c r="G25" s="31">
        <f ca="1">163.47*OFFSET(G$112,MATCH($N$1,$C$112:$C$113,0)-1,0)</f>
        <v>163.47</v>
      </c>
      <c r="H25" s="31">
        <f ca="1">58.31*OFFSET(H$112,MATCH($N$1,$C$112:$C$113,0)-1,0)</f>
        <v>58.31</v>
      </c>
      <c r="I25" s="31">
        <f ca="1">55.11*OFFSET(I$112,MATCH($N$1,$C$112:$C$113,0)-1,0)</f>
        <v>55.11</v>
      </c>
      <c r="J25" s="31">
        <f ca="1">58.79*OFFSET(J$112,MATCH($N$1,$C$112:$C$113,0)-1,0)</f>
        <v>58.79</v>
      </c>
      <c r="K25" s="31">
        <f ca="1">114.76*OFFSET(K$112,MATCH($N$1,$C$112:$C$113,0)-1,0)</f>
        <v>114.76</v>
      </c>
      <c r="L25" s="31">
        <f ca="1">68.37*OFFSET(L$112,MATCH($N$1,$C$112:$C$113,0)-1,0)</f>
        <v>68.37</v>
      </c>
      <c r="M25" s="31">
        <f ca="1">122.01*OFFSET(M$112,MATCH($N$1,$C$112:$C$113,0)-1,0)</f>
        <v>122.01</v>
      </c>
      <c r="N25" s="31">
        <v>79.45</v>
      </c>
      <c r="O25" s="28">
        <f t="shared" ca="1" si="0"/>
        <v>2.9545160036283543E-2</v>
      </c>
      <c r="P25" s="28">
        <f t="shared" ca="1" si="1"/>
        <v>0.35142030957645864</v>
      </c>
    </row>
    <row r="26" spans="1:16" ht="18" customHeight="1">
      <c r="A26" s="177"/>
      <c r="B26" s="35" t="s">
        <v>201</v>
      </c>
      <c r="C26" s="31"/>
      <c r="D26" s="31">
        <f ca="1">22.1*OFFSET(D$112,MATCH($N$1,$C$112:$C$113,0)-1,0)</f>
        <v>22.1</v>
      </c>
      <c r="E26" s="31">
        <f ca="1">5.68*OFFSET(E$112,MATCH($N$1,$C$112:$C$113,0)-1,0)</f>
        <v>5.68</v>
      </c>
      <c r="F26" s="31">
        <f ca="1">18.62*OFFSET(F$112,MATCH($N$1,$C$112:$C$113,0)-1,0)</f>
        <v>18.62</v>
      </c>
      <c r="G26" s="31">
        <f ca="1">18.52*OFFSET(G$112,MATCH($N$1,$C$112:$C$113,0)-1,0)</f>
        <v>18.52</v>
      </c>
      <c r="H26" s="31">
        <f ca="1">15.59*OFFSET(H$112,MATCH($N$1,$C$112:$C$113,0)-1,0)</f>
        <v>15.59</v>
      </c>
      <c r="I26" s="31">
        <f ca="1">18.83*OFFSET(I$112,MATCH($N$1,$C$112:$C$113,0)-1,0)</f>
        <v>18.829999999999998</v>
      </c>
      <c r="J26" s="31">
        <f ca="1">12.05*OFFSET(J$112,MATCH($N$1,$C$112:$C$113,0)-1,0)</f>
        <v>12.05</v>
      </c>
      <c r="K26" s="31">
        <f ca="1">15.58*OFFSET(K$112,MATCH($N$1,$C$112:$C$113,0)-1,0)</f>
        <v>15.58</v>
      </c>
      <c r="L26" s="31">
        <f ca="1">7.36*OFFSET(L$112,MATCH($N$1,$C$112:$C$113,0)-1,0)</f>
        <v>7.36</v>
      </c>
      <c r="M26" s="31">
        <f ca="1">15.7*OFFSET(M$112,MATCH($N$1,$C$112:$C$113,0)-1,0)</f>
        <v>15.7</v>
      </c>
      <c r="N26" s="31">
        <v>1.45</v>
      </c>
      <c r="O26" s="32">
        <f t="shared" ca="1" si="0"/>
        <v>-0.93438914027149322</v>
      </c>
      <c r="P26" s="32">
        <f t="shared" ca="1" si="1"/>
        <v>-0.87966804979253121</v>
      </c>
    </row>
    <row r="27" spans="1:16" ht="18" customHeight="1">
      <c r="A27" s="166" t="s">
        <v>202</v>
      </c>
      <c r="B27" s="33" t="s">
        <v>193</v>
      </c>
      <c r="C27" s="34"/>
      <c r="D27" s="34">
        <f ca="1">486.3*OFFSET(D$112,MATCH($N$1,$C$112:$C$113,0)-1,0)</f>
        <v>486.3</v>
      </c>
      <c r="E27" s="34">
        <f ca="1">554*OFFSET(E$112,MATCH($N$1,$C$112:$C$113,0)-1,0)</f>
        <v>554</v>
      </c>
      <c r="F27" s="34">
        <f ca="1">573.7*OFFSET(F$112,MATCH($N$1,$C$112:$C$113,0)-1,0)</f>
        <v>573.70000000000005</v>
      </c>
      <c r="G27" s="34">
        <f ca="1">562.2*OFFSET(G$112,MATCH($N$1,$C$112:$C$113,0)-1,0)</f>
        <v>562.20000000000005</v>
      </c>
      <c r="H27" s="34">
        <f ca="1">613.5*OFFSET(H$112,MATCH($N$1,$C$112:$C$113,0)-1,0)</f>
        <v>613.5</v>
      </c>
      <c r="I27" s="34">
        <f ca="1">621.5*OFFSET(I$112,MATCH($N$1,$C$112:$C$113,0)-1,0)</f>
        <v>621.5</v>
      </c>
      <c r="J27" s="34">
        <f ca="1">673.6*OFFSET(J$112,MATCH($N$1,$C$112:$C$113,0)-1,0)</f>
        <v>673.6</v>
      </c>
      <c r="K27" s="34">
        <f ca="1">545.9*OFFSET(K$112,MATCH($N$1,$C$112:$C$113,0)-1,0)</f>
        <v>545.9</v>
      </c>
      <c r="L27" s="34">
        <f ca="1">602.7*OFFSET(L$112,MATCH($N$1,$C$112:$C$113,0)-1,0)</f>
        <v>602.70000000000005</v>
      </c>
      <c r="M27" s="34">
        <f ca="1">780.4*OFFSET(M$112,MATCH($N$1,$C$112:$C$113,0)-1,0)</f>
        <v>780.4</v>
      </c>
      <c r="N27" s="34">
        <v>521.70000000000005</v>
      </c>
      <c r="O27" s="28">
        <f t="shared" ca="1" si="0"/>
        <v>7.279457125231345E-2</v>
      </c>
      <c r="P27" s="28">
        <f t="shared" ca="1" si="1"/>
        <v>-0.22550475059382419</v>
      </c>
    </row>
    <row r="28" spans="1:16" ht="18" customHeight="1">
      <c r="A28" s="178"/>
      <c r="B28" s="35" t="s">
        <v>203</v>
      </c>
      <c r="C28" s="31"/>
      <c r="D28" s="31"/>
      <c r="E28" s="31">
        <f ca="1">0.4*OFFSET(E$112,MATCH($N$1,$C$112:$C$113,0)-1,0)</f>
        <v>0.4</v>
      </c>
      <c r="F28" s="31"/>
      <c r="G28" s="31"/>
      <c r="H28" s="31">
        <f ca="1">25.3*OFFSET(H$112,MATCH($N$1,$C$112:$C$113,0)-1,0)</f>
        <v>25.3</v>
      </c>
      <c r="I28" s="31">
        <f ca="1">56.9*OFFSET(I$112,MATCH($N$1,$C$112:$C$113,0)-1,0)</f>
        <v>56.9</v>
      </c>
      <c r="J28" s="31"/>
      <c r="K28" s="31">
        <f ca="1">3.3*OFFSET(K$112,MATCH($N$1,$C$112:$C$113,0)-1,0)</f>
        <v>3.3</v>
      </c>
      <c r="L28" s="31"/>
      <c r="M28" s="31"/>
      <c r="N28" s="31">
        <v>6.4</v>
      </c>
      <c r="O28" s="28" t="str">
        <f t="shared" si="0"/>
        <v/>
      </c>
      <c r="P28" s="28" t="str">
        <f t="shared" si="1"/>
        <v/>
      </c>
    </row>
    <row r="29" spans="1:16" ht="18" customHeight="1">
      <c r="A29" s="178"/>
      <c r="B29" s="40" t="s">
        <v>204</v>
      </c>
      <c r="C29" s="41"/>
      <c r="D29" s="41">
        <f ca="1">486.3*OFFSET(D$112,MATCH($N$1,$C$112:$C$113,0)-1,0)</f>
        <v>486.3</v>
      </c>
      <c r="E29" s="41">
        <f ca="1">554.5*OFFSET(E$112,MATCH($N$1,$C$112:$C$113,0)-1,0)</f>
        <v>554.5</v>
      </c>
      <c r="F29" s="41">
        <f ca="1">573.7*OFFSET(F$112,MATCH($N$1,$C$112:$C$113,0)-1,0)</f>
        <v>573.70000000000005</v>
      </c>
      <c r="G29" s="41">
        <f ca="1">562.2*OFFSET(G$112,MATCH($N$1,$C$112:$C$113,0)-1,0)</f>
        <v>562.20000000000005</v>
      </c>
      <c r="H29" s="41">
        <f ca="1">638.8*OFFSET(H$112,MATCH($N$1,$C$112:$C$113,0)-1,0)</f>
        <v>638.79999999999995</v>
      </c>
      <c r="I29" s="41">
        <f ca="1">678.5*OFFSET(I$112,MATCH($N$1,$C$112:$C$113,0)-1,0)</f>
        <v>678.5</v>
      </c>
      <c r="J29" s="41">
        <f ca="1">673.6*OFFSET(J$112,MATCH($N$1,$C$112:$C$113,0)-1,0)</f>
        <v>673.6</v>
      </c>
      <c r="K29" s="41">
        <f ca="1">549.2*OFFSET(K$112,MATCH($N$1,$C$112:$C$113,0)-1,0)</f>
        <v>549.20000000000005</v>
      </c>
      <c r="L29" s="41">
        <f ca="1">602.7*OFFSET(L$112,MATCH($N$1,$C$112:$C$113,0)-1,0)</f>
        <v>602.70000000000005</v>
      </c>
      <c r="M29" s="41">
        <f ca="1">780.4*OFFSET(M$112,MATCH($N$1,$C$112:$C$113,0)-1,0)</f>
        <v>780.4</v>
      </c>
      <c r="N29" s="41">
        <v>528.20000000000005</v>
      </c>
      <c r="O29" s="28">
        <f t="shared" ca="1" si="0"/>
        <v>8.6160806086777772E-2</v>
      </c>
      <c r="P29" s="28">
        <f t="shared" ca="1" si="1"/>
        <v>-0.21585510688836101</v>
      </c>
    </row>
    <row r="30" spans="1:16" ht="18" customHeight="1">
      <c r="A30" s="178"/>
      <c r="B30" s="35" t="s">
        <v>205</v>
      </c>
      <c r="C30" s="31"/>
      <c r="D30" s="31">
        <f ca="1">38.9*OFFSET(D$112,MATCH($N$1,$C$112:$C$113,0)-1,0)</f>
        <v>38.9</v>
      </c>
      <c r="E30" s="31">
        <f ca="1">53.1*OFFSET(E$112,MATCH($N$1,$C$112:$C$113,0)-1,0)</f>
        <v>53.1</v>
      </c>
      <c r="F30" s="31">
        <f ca="1">52.9*OFFSET(F$112,MATCH($N$1,$C$112:$C$113,0)-1,0)</f>
        <v>52.9</v>
      </c>
      <c r="G30" s="31">
        <f ca="1">54.7*OFFSET(G$112,MATCH($N$1,$C$112:$C$113,0)-1,0)</f>
        <v>54.7</v>
      </c>
      <c r="H30" s="31">
        <f ca="1">49.9*OFFSET(H$112,MATCH($N$1,$C$112:$C$113,0)-1,0)</f>
        <v>49.9</v>
      </c>
      <c r="I30" s="31">
        <f ca="1">37.8*OFFSET(I$112,MATCH($N$1,$C$112:$C$113,0)-1,0)</f>
        <v>37.799999999999997</v>
      </c>
      <c r="J30" s="31">
        <f ca="1">34.1*OFFSET(J$112,MATCH($N$1,$C$112:$C$113,0)-1,0)</f>
        <v>34.1</v>
      </c>
      <c r="K30" s="31">
        <f ca="1">38*OFFSET(K$112,MATCH($N$1,$C$112:$C$113,0)-1,0)</f>
        <v>38</v>
      </c>
      <c r="L30" s="31">
        <f ca="1">48.5*OFFSET(L$112,MATCH($N$1,$C$112:$C$113,0)-1,0)</f>
        <v>48.5</v>
      </c>
      <c r="M30" s="31">
        <f ca="1">46.9*OFFSET(M$112,MATCH($N$1,$C$112:$C$113,0)-1,0)</f>
        <v>46.9</v>
      </c>
      <c r="N30" s="31">
        <v>33.799999999999997</v>
      </c>
      <c r="O30" s="28">
        <f t="shared" ca="1" si="0"/>
        <v>-0.13110539845758359</v>
      </c>
      <c r="P30" s="28">
        <f t="shared" ca="1" si="1"/>
        <v>-8.7976539589444056E-3</v>
      </c>
    </row>
    <row r="31" spans="1:16" ht="18" customHeight="1">
      <c r="A31" s="178"/>
      <c r="B31" s="35" t="s">
        <v>206</v>
      </c>
      <c r="C31" s="31"/>
      <c r="D31" s="31">
        <f ca="1">125*OFFSET(D$112,MATCH($N$1,$C$112:$C$113,0)-1,0)</f>
        <v>125</v>
      </c>
      <c r="E31" s="31">
        <f ca="1">185.5*OFFSET(E$112,MATCH($N$1,$C$112:$C$113,0)-1,0)</f>
        <v>185.5</v>
      </c>
      <c r="F31" s="31">
        <f ca="1">151.1*OFFSET(F$112,MATCH($N$1,$C$112:$C$113,0)-1,0)</f>
        <v>151.1</v>
      </c>
      <c r="G31" s="31">
        <f ca="1">184.3*OFFSET(G$112,MATCH($N$1,$C$112:$C$113,0)-1,0)</f>
        <v>184.3</v>
      </c>
      <c r="H31" s="31">
        <f ca="1">172*OFFSET(H$112,MATCH($N$1,$C$112:$C$113,0)-1,0)</f>
        <v>172</v>
      </c>
      <c r="I31" s="31">
        <f ca="1">189.6*OFFSET(I$112,MATCH($N$1,$C$112:$C$113,0)-1,0)</f>
        <v>189.6</v>
      </c>
      <c r="J31" s="31">
        <f ca="1">216.1*OFFSET(J$112,MATCH($N$1,$C$112:$C$113,0)-1,0)</f>
        <v>216.1</v>
      </c>
      <c r="K31" s="31">
        <f ca="1">119.2*OFFSET(K$112,MATCH($N$1,$C$112:$C$113,0)-1,0)</f>
        <v>119.2</v>
      </c>
      <c r="L31" s="31">
        <f ca="1">189*OFFSET(L$112,MATCH($N$1,$C$112:$C$113,0)-1,0)</f>
        <v>189</v>
      </c>
      <c r="M31" s="31">
        <f ca="1">274.4*OFFSET(M$112,MATCH($N$1,$C$112:$C$113,0)-1,0)</f>
        <v>274.39999999999998</v>
      </c>
      <c r="N31" s="31">
        <v>182.3</v>
      </c>
      <c r="O31" s="28">
        <f t="shared" ca="1" si="0"/>
        <v>0.45840000000000009</v>
      </c>
      <c r="P31" s="28">
        <f t="shared" ca="1" si="1"/>
        <v>-0.15640906987505776</v>
      </c>
    </row>
    <row r="32" spans="1:16" ht="18" customHeight="1">
      <c r="A32" s="178"/>
      <c r="B32" s="35" t="s">
        <v>207</v>
      </c>
      <c r="C32" s="31"/>
      <c r="D32" s="31">
        <f ca="1">45.2*OFFSET(D$112,MATCH($N$1,$C$112:$C$113,0)-1,0)</f>
        <v>45.2</v>
      </c>
      <c r="E32" s="31">
        <f ca="1">90.9*OFFSET(E$112,MATCH($N$1,$C$112:$C$113,0)-1,0)</f>
        <v>90.9</v>
      </c>
      <c r="F32" s="31">
        <f ca="1">61.8*OFFSET(F$112,MATCH($N$1,$C$112:$C$113,0)-1,0)</f>
        <v>61.8</v>
      </c>
      <c r="G32" s="31">
        <f ca="1">85.9*OFFSET(G$112,MATCH($N$1,$C$112:$C$113,0)-1,0)</f>
        <v>85.9</v>
      </c>
      <c r="H32" s="31">
        <f ca="1">86.7*OFFSET(H$112,MATCH($N$1,$C$112:$C$113,0)-1,0)</f>
        <v>86.7</v>
      </c>
      <c r="I32" s="31">
        <f ca="1">87.5*OFFSET(I$112,MATCH($N$1,$C$112:$C$113,0)-1,0)</f>
        <v>87.5</v>
      </c>
      <c r="J32" s="31">
        <f ca="1">136.9*OFFSET(J$112,MATCH($N$1,$C$112:$C$113,0)-1,0)</f>
        <v>136.9</v>
      </c>
      <c r="K32" s="31">
        <f ca="1">137.4*OFFSET(K$112,MATCH($N$1,$C$112:$C$113,0)-1,0)</f>
        <v>137.4</v>
      </c>
      <c r="L32" s="31">
        <f ca="1">147.7*OFFSET(L$112,MATCH($N$1,$C$112:$C$113,0)-1,0)</f>
        <v>147.69999999999999</v>
      </c>
      <c r="M32" s="31">
        <f ca="1">162.3*OFFSET(M$112,MATCH($N$1,$C$112:$C$113,0)-1,0)</f>
        <v>162.30000000000001</v>
      </c>
      <c r="N32" s="31">
        <v>108.5</v>
      </c>
      <c r="O32" s="28">
        <f t="shared" ca="1" si="0"/>
        <v>1.400442477876106</v>
      </c>
      <c r="P32" s="28">
        <f t="shared" ca="1" si="1"/>
        <v>-0.20745069393718046</v>
      </c>
    </row>
    <row r="33" spans="1:16" ht="18" customHeight="1">
      <c r="A33" s="178"/>
      <c r="B33" s="35" t="s">
        <v>208</v>
      </c>
      <c r="C33" s="31"/>
      <c r="D33" s="31">
        <f ca="1">209.1*OFFSET(D$112,MATCH($N$1,$C$112:$C$113,0)-1,0)</f>
        <v>209.1</v>
      </c>
      <c r="E33" s="31">
        <f ca="1">329.5*OFFSET(E$112,MATCH($N$1,$C$112:$C$113,0)-1,0)</f>
        <v>329.5</v>
      </c>
      <c r="F33" s="31">
        <f ca="1">265.8*OFFSET(F$112,MATCH($N$1,$C$112:$C$113,0)-1,0)</f>
        <v>265.8</v>
      </c>
      <c r="G33" s="31">
        <f ca="1">324.9*OFFSET(G$112,MATCH($N$1,$C$112:$C$113,0)-1,0)</f>
        <v>324.89999999999998</v>
      </c>
      <c r="H33" s="31">
        <f ca="1">308.6*OFFSET(H$112,MATCH($N$1,$C$112:$C$113,0)-1,0)</f>
        <v>308.60000000000002</v>
      </c>
      <c r="I33" s="31">
        <f ca="1">315*OFFSET(I$112,MATCH($N$1,$C$112:$C$113,0)-1,0)</f>
        <v>315</v>
      </c>
      <c r="J33" s="31">
        <f ca="1">387.1*OFFSET(J$112,MATCH($N$1,$C$112:$C$113,0)-1,0)</f>
        <v>387.1</v>
      </c>
      <c r="K33" s="31">
        <f ca="1">294.6*OFFSET(K$112,MATCH($N$1,$C$112:$C$113,0)-1,0)</f>
        <v>294.60000000000002</v>
      </c>
      <c r="L33" s="31">
        <f ca="1">385.2*OFFSET(L$112,MATCH($N$1,$C$112:$C$113,0)-1,0)</f>
        <v>385.2</v>
      </c>
      <c r="M33" s="31">
        <f ca="1">483.6*OFFSET(M$112,MATCH($N$1,$C$112:$C$113,0)-1,0)</f>
        <v>483.6</v>
      </c>
      <c r="N33" s="31">
        <v>324.60000000000002</v>
      </c>
      <c r="O33" s="28">
        <f t="shared" ca="1" si="0"/>
        <v>0.55236728837876625</v>
      </c>
      <c r="P33" s="28">
        <f t="shared" ca="1" si="1"/>
        <v>-0.16145698785843451</v>
      </c>
    </row>
    <row r="34" spans="1:16" ht="18" customHeight="1">
      <c r="A34" s="178"/>
      <c r="B34" s="35" t="s">
        <v>209</v>
      </c>
      <c r="C34" s="31"/>
      <c r="D34" s="31">
        <f ca="1">137.9*OFFSET(D$112,MATCH($N$1,$C$112:$C$113,0)-1,0)</f>
        <v>137.9</v>
      </c>
      <c r="E34" s="31">
        <f ca="1">186.8*OFFSET(E$112,MATCH($N$1,$C$112:$C$113,0)-1,0)</f>
        <v>186.8</v>
      </c>
      <c r="F34" s="31">
        <f ca="1">172.2*OFFSET(F$112,MATCH($N$1,$C$112:$C$113,0)-1,0)</f>
        <v>172.2</v>
      </c>
      <c r="G34" s="31">
        <f ca="1">173.6*OFFSET(G$112,MATCH($N$1,$C$112:$C$113,0)-1,0)</f>
        <v>173.6</v>
      </c>
      <c r="H34" s="31">
        <f ca="1">166.1*OFFSET(H$112,MATCH($N$1,$C$112:$C$113,0)-1,0)</f>
        <v>166.1</v>
      </c>
      <c r="I34" s="31">
        <f ca="1">151*OFFSET(I$112,MATCH($N$1,$C$112:$C$113,0)-1,0)</f>
        <v>151</v>
      </c>
      <c r="J34" s="31">
        <f ca="1">148.5*OFFSET(J$112,MATCH($N$1,$C$112:$C$113,0)-1,0)</f>
        <v>148.5</v>
      </c>
      <c r="K34" s="31">
        <f ca="1">180.4*OFFSET(K$112,MATCH($N$1,$C$112:$C$113,0)-1,0)</f>
        <v>180.4</v>
      </c>
      <c r="L34" s="31">
        <f ca="1">152.6*OFFSET(L$112,MATCH($N$1,$C$112:$C$113,0)-1,0)</f>
        <v>152.6</v>
      </c>
      <c r="M34" s="31">
        <f ca="1">196.3*OFFSET(M$112,MATCH($N$1,$C$112:$C$113,0)-1,0)</f>
        <v>196.3</v>
      </c>
      <c r="N34" s="31">
        <v>194.1</v>
      </c>
      <c r="O34" s="28">
        <f t="shared" ca="1" si="0"/>
        <v>0.40754169688179831</v>
      </c>
      <c r="P34" s="28">
        <f t="shared" ca="1" si="1"/>
        <v>0.30707070707070705</v>
      </c>
    </row>
    <row r="35" spans="1:16" ht="18" customHeight="1">
      <c r="A35" s="178"/>
      <c r="B35" s="35" t="s">
        <v>210</v>
      </c>
      <c r="C35" s="31"/>
      <c r="D35" s="31">
        <f ca="1">347*OFFSET(D$112,MATCH($N$1,$C$112:$C$113,0)-1,0)</f>
        <v>347</v>
      </c>
      <c r="E35" s="31">
        <f ca="1">516.3*OFFSET(E$112,MATCH($N$1,$C$112:$C$113,0)-1,0)</f>
        <v>516.29999999999995</v>
      </c>
      <c r="F35" s="31">
        <f ca="1">438.1*OFFSET(F$112,MATCH($N$1,$C$112:$C$113,0)-1,0)</f>
        <v>438.1</v>
      </c>
      <c r="G35" s="31">
        <f ca="1">498.5*OFFSET(G$112,MATCH($N$1,$C$112:$C$113,0)-1,0)</f>
        <v>498.5</v>
      </c>
      <c r="H35" s="31">
        <f ca="1">474.8*OFFSET(H$112,MATCH($N$1,$C$112:$C$113,0)-1,0)</f>
        <v>474.8</v>
      </c>
      <c r="I35" s="31">
        <f ca="1">466*OFFSET(I$112,MATCH($N$1,$C$112:$C$113,0)-1,0)</f>
        <v>466</v>
      </c>
      <c r="J35" s="31">
        <f ca="1">535.6*OFFSET(J$112,MATCH($N$1,$C$112:$C$113,0)-1,0)</f>
        <v>535.6</v>
      </c>
      <c r="K35" s="31">
        <f ca="1">475*OFFSET(K$112,MATCH($N$1,$C$112:$C$113,0)-1,0)</f>
        <v>475</v>
      </c>
      <c r="L35" s="31">
        <f ca="1">537.8*OFFSET(L$112,MATCH($N$1,$C$112:$C$113,0)-1,0)</f>
        <v>537.79999999999995</v>
      </c>
      <c r="M35" s="31">
        <f ca="1">679.9*OFFSET(M$112,MATCH($N$1,$C$112:$C$113,0)-1,0)</f>
        <v>679.9</v>
      </c>
      <c r="N35" s="31">
        <v>518.70000000000005</v>
      </c>
      <c r="O35" s="28">
        <f t="shared" ca="1" si="0"/>
        <v>0.49481268011527391</v>
      </c>
      <c r="P35" s="28">
        <f t="shared" ca="1" si="1"/>
        <v>-3.1553398058252385E-2</v>
      </c>
    </row>
    <row r="36" spans="1:16" ht="18" customHeight="1">
      <c r="A36" s="178"/>
      <c r="B36" s="40" t="s">
        <v>211</v>
      </c>
      <c r="C36" s="41"/>
      <c r="D36" s="41">
        <f ca="1">264.3*OFFSET(D$112,MATCH($N$1,$C$112:$C$113,0)-1,0)</f>
        <v>264.3</v>
      </c>
      <c r="E36" s="41">
        <f ca="1">223.7*OFFSET(E$112,MATCH($N$1,$C$112:$C$113,0)-1,0)</f>
        <v>223.7</v>
      </c>
      <c r="F36" s="41">
        <f ca="1">286.7*OFFSET(F$112,MATCH($N$1,$C$112:$C$113,0)-1,0)</f>
        <v>286.7</v>
      </c>
      <c r="G36" s="41">
        <f ca="1">248*OFFSET(G$112,MATCH($N$1,$C$112:$C$113,0)-1,0)</f>
        <v>248</v>
      </c>
      <c r="H36" s="41">
        <f ca="1">336*OFFSET(H$112,MATCH($N$1,$C$112:$C$113,0)-1,0)</f>
        <v>336</v>
      </c>
      <c r="I36" s="41">
        <f ca="1">402*OFFSET(I$112,MATCH($N$1,$C$112:$C$113,0)-1,0)</f>
        <v>402</v>
      </c>
      <c r="J36" s="41">
        <f ca="1">354.2*OFFSET(J$112,MATCH($N$1,$C$112:$C$113,0)-1,0)</f>
        <v>354.2</v>
      </c>
      <c r="K36" s="41">
        <f ca="1">193.3*OFFSET(K$112,MATCH($N$1,$C$112:$C$113,0)-1,0)</f>
        <v>193.3</v>
      </c>
      <c r="L36" s="41">
        <f ca="1">253.9*OFFSET(L$112,MATCH($N$1,$C$112:$C$113,0)-1,0)</f>
        <v>253.9</v>
      </c>
      <c r="M36" s="41">
        <f ca="1">374.8*OFFSET(M$112,MATCH($N$1,$C$112:$C$113,0)-1,0)</f>
        <v>374.8</v>
      </c>
      <c r="N36" s="41">
        <v>191.8</v>
      </c>
      <c r="O36" s="28">
        <f t="shared" ca="1" si="0"/>
        <v>-0.27430949678395761</v>
      </c>
      <c r="P36" s="28">
        <f t="shared" ca="1" si="1"/>
        <v>-0.45849802371541498</v>
      </c>
    </row>
    <row r="37" spans="1:16" ht="18" customHeight="1">
      <c r="A37" s="178"/>
      <c r="B37" s="40" t="s">
        <v>212</v>
      </c>
      <c r="C37" s="41"/>
      <c r="D37" s="41">
        <f ca="1">139.3*OFFSET(D$112,MATCH($N$1,$C$112:$C$113,0)-1,0)</f>
        <v>139.30000000000001</v>
      </c>
      <c r="E37" s="41">
        <f ca="1">38.2*OFFSET(E$112,MATCH($N$1,$C$112:$C$113,0)-1,0)</f>
        <v>38.200000000000003</v>
      </c>
      <c r="F37" s="41">
        <f ca="1">135.6*OFFSET(F$112,MATCH($N$1,$C$112:$C$113,0)-1,0)</f>
        <v>135.6</v>
      </c>
      <c r="G37" s="41">
        <f ca="1">63.7*OFFSET(G$112,MATCH($N$1,$C$112:$C$113,0)-1,0)</f>
        <v>63.7</v>
      </c>
      <c r="H37" s="41">
        <f ca="1">164*OFFSET(H$112,MATCH($N$1,$C$112:$C$113,0)-1,0)</f>
        <v>164</v>
      </c>
      <c r="I37" s="41">
        <f ca="1">212.4*OFFSET(I$112,MATCH($N$1,$C$112:$C$113,0)-1,0)</f>
        <v>212.4</v>
      </c>
      <c r="J37" s="41">
        <f ca="1">138.1*OFFSET(J$112,MATCH($N$1,$C$112:$C$113,0)-1,0)</f>
        <v>138.1</v>
      </c>
      <c r="K37" s="41">
        <f ca="1">74.1*OFFSET(K$112,MATCH($N$1,$C$112:$C$113,0)-1,0)</f>
        <v>74.099999999999994</v>
      </c>
      <c r="L37" s="41">
        <f ca="1">64.9*OFFSET(L$112,MATCH($N$1,$C$112:$C$113,0)-1,0)</f>
        <v>64.900000000000006</v>
      </c>
      <c r="M37" s="41">
        <f ca="1">100.4*OFFSET(M$112,MATCH($N$1,$C$112:$C$113,0)-1,0)</f>
        <v>100.4</v>
      </c>
      <c r="N37" s="41">
        <v>9.5</v>
      </c>
      <c r="O37" s="28">
        <f t="shared" ca="1" si="0"/>
        <v>-0.93180186647523333</v>
      </c>
      <c r="P37" s="28">
        <f t="shared" ca="1" si="1"/>
        <v>-0.93120926864590881</v>
      </c>
    </row>
    <row r="38" spans="1:16" ht="18" customHeight="1">
      <c r="A38" s="178"/>
      <c r="B38" s="35" t="s">
        <v>213</v>
      </c>
      <c r="C38" s="31"/>
      <c r="D38" s="31">
        <f ca="1">12.3*OFFSET(D$112,MATCH($N$1,$C$112:$C$113,0)-1,0)</f>
        <v>12.3</v>
      </c>
      <c r="E38" s="31">
        <f ca="1">18.4*OFFSET(E$112,MATCH($N$1,$C$112:$C$113,0)-1,0)</f>
        <v>18.399999999999999</v>
      </c>
      <c r="F38" s="31">
        <f ca="1">19*OFFSET(F$112,MATCH($N$1,$C$112:$C$113,0)-1,0)</f>
        <v>19</v>
      </c>
      <c r="G38" s="31">
        <f ca="1">40.8*OFFSET(G$112,MATCH($N$1,$C$112:$C$113,0)-1,0)</f>
        <v>40.799999999999997</v>
      </c>
      <c r="H38" s="31">
        <f ca="1">31*OFFSET(H$112,MATCH($N$1,$C$112:$C$113,0)-1,0)</f>
        <v>31</v>
      </c>
      <c r="I38" s="31">
        <f ca="1">36.2*OFFSET(I$112,MATCH($N$1,$C$112:$C$113,0)-1,0)</f>
        <v>36.200000000000003</v>
      </c>
      <c r="J38" s="31">
        <f ca="1">44.8*OFFSET(J$112,MATCH($N$1,$C$112:$C$113,0)-1,0)</f>
        <v>44.8</v>
      </c>
      <c r="K38" s="31">
        <f ca="1">9.1*OFFSET(K$112,MATCH($N$1,$C$112:$C$113,0)-1,0)</f>
        <v>9.1</v>
      </c>
      <c r="L38" s="31">
        <f ca="1">23.9*OFFSET(L$112,MATCH($N$1,$C$112:$C$113,0)-1,0)</f>
        <v>23.9</v>
      </c>
      <c r="M38" s="31">
        <f ca="1">27.5*OFFSET(M$112,MATCH($N$1,$C$112:$C$113,0)-1,0)</f>
        <v>27.5</v>
      </c>
      <c r="N38" s="31"/>
      <c r="O38" s="28" t="str">
        <f t="shared" si="0"/>
        <v/>
      </c>
      <c r="P38" s="28" t="str">
        <f t="shared" si="1"/>
        <v/>
      </c>
    </row>
    <row r="39" spans="1:16" ht="18" customHeight="1">
      <c r="A39" s="178"/>
      <c r="B39" s="35" t="s">
        <v>214</v>
      </c>
      <c r="C39" s="31"/>
      <c r="D39" s="31">
        <f ca="1">0.3*OFFSET(D$112,MATCH($N$1,$C$112:$C$113,0)-1,0)</f>
        <v>0.3</v>
      </c>
      <c r="E39" s="31">
        <f ca="1">0.3*OFFSET(E$112,MATCH($N$1,$C$112:$C$113,0)-1,0)</f>
        <v>0.3</v>
      </c>
      <c r="F39" s="31"/>
      <c r="G39" s="31"/>
      <c r="H39" s="31">
        <f ca="1">5.7*OFFSET(H$112,MATCH($N$1,$C$112:$C$113,0)-1,0)</f>
        <v>5.7</v>
      </c>
      <c r="I39" s="31">
        <f ca="1">2.3*OFFSET(I$112,MATCH($N$1,$C$112:$C$113,0)-1,0)</f>
        <v>2.2999999999999998</v>
      </c>
      <c r="J39" s="31">
        <f ca="1">1.3*OFFSET(J$112,MATCH($N$1,$C$112:$C$113,0)-1,0)</f>
        <v>1.3</v>
      </c>
      <c r="K39" s="31">
        <f ca="1">1.6*OFFSET(K$112,MATCH($N$1,$C$112:$C$113,0)-1,0)</f>
        <v>1.6</v>
      </c>
      <c r="L39" s="31"/>
      <c r="M39" s="31"/>
      <c r="N39" s="31"/>
      <c r="O39" s="28" t="str">
        <f t="shared" si="0"/>
        <v/>
      </c>
      <c r="P39" s="28" t="str">
        <f t="shared" si="1"/>
        <v/>
      </c>
    </row>
    <row r="40" spans="1:16" ht="18" customHeight="1">
      <c r="A40" s="178"/>
      <c r="B40" s="35" t="s">
        <v>215</v>
      </c>
      <c r="C40" s="31"/>
      <c r="D40" s="31"/>
      <c r="E40" s="31"/>
      <c r="F40" s="31"/>
      <c r="G40" s="31"/>
      <c r="H40" s="31">
        <f ca="1">3.3*OFFSET(H$112,MATCH($N$1,$C$112:$C$113,0)-1,0)</f>
        <v>3.3</v>
      </c>
      <c r="I40" s="31">
        <f ca="1">0.2*OFFSET(I$112,MATCH($N$1,$C$112:$C$113,0)-1,0)</f>
        <v>0.2</v>
      </c>
      <c r="J40" s="31">
        <f ca="1">0.6*OFFSET(J$112,MATCH($N$1,$C$112:$C$113,0)-1,0)</f>
        <v>0.6</v>
      </c>
      <c r="K40" s="31"/>
      <c r="L40" s="31">
        <f ca="1">0.2*OFFSET(L$112,MATCH($N$1,$C$112:$C$113,0)-1,0)</f>
        <v>0.2</v>
      </c>
      <c r="M40" s="31">
        <f ca="1">0.2*OFFSET(M$112,MATCH($N$1,$C$112:$C$113,0)-1,0)</f>
        <v>0.2</v>
      </c>
      <c r="N40" s="31"/>
      <c r="O40" s="28" t="str">
        <f t="shared" si="0"/>
        <v/>
      </c>
      <c r="P40" s="28" t="str">
        <f t="shared" si="1"/>
        <v/>
      </c>
    </row>
    <row r="41" spans="1:16" ht="18" customHeight="1" thickBot="1">
      <c r="A41" s="179"/>
      <c r="B41" s="42" t="s">
        <v>216</v>
      </c>
      <c r="C41" s="43"/>
      <c r="D41" s="43">
        <f ca="1">126.6*OFFSET(D$112,MATCH($N$1,$C$112:$C$113,0)-1,0)</f>
        <v>126.6</v>
      </c>
      <c r="E41" s="43">
        <f ca="1">19.4*OFFSET(E$112,MATCH($N$1,$C$112:$C$113,0)-1,0)</f>
        <v>19.399999999999999</v>
      </c>
      <c r="F41" s="43">
        <f ca="1">116.6*OFFSET(F$112,MATCH($N$1,$C$112:$C$113,0)-1,0)</f>
        <v>116.6</v>
      </c>
      <c r="G41" s="43">
        <f ca="1">22.9*OFFSET(G$112,MATCH($N$1,$C$112:$C$113,0)-1,0)</f>
        <v>22.9</v>
      </c>
      <c r="H41" s="43">
        <f ca="1">124*OFFSET(H$112,MATCH($N$1,$C$112:$C$113,0)-1,0)</f>
        <v>124</v>
      </c>
      <c r="I41" s="43">
        <f ca="1">173.6*OFFSET(I$112,MATCH($N$1,$C$112:$C$113,0)-1,0)</f>
        <v>173.6</v>
      </c>
      <c r="J41" s="43">
        <f ca="1">91.3*OFFSET(J$112,MATCH($N$1,$C$112:$C$113,0)-1,0)</f>
        <v>91.3</v>
      </c>
      <c r="K41" s="43">
        <f ca="1">63.4*OFFSET(K$112,MATCH($N$1,$C$112:$C$113,0)-1,0)</f>
        <v>63.4</v>
      </c>
      <c r="L41" s="43">
        <f ca="1">40.8*OFFSET(L$112,MATCH($N$1,$C$112:$C$113,0)-1,0)</f>
        <v>40.799999999999997</v>
      </c>
      <c r="M41" s="43">
        <f ca="1">72.8*OFFSET(M$112,MATCH($N$1,$C$112:$C$113,0)-1,0)</f>
        <v>72.8</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159</v>
      </c>
      <c r="F46" s="90" t="s">
        <v>159</v>
      </c>
      <c r="G46" s="90" t="s">
        <v>159</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Gill netters</v>
      </c>
      <c r="B48" s="202"/>
      <c r="C48" s="92"/>
      <c r="D48" s="92"/>
      <c r="E48" s="92"/>
      <c r="F48" s="92"/>
      <c r="G48" s="92"/>
      <c r="H48" s="202"/>
      <c r="I48" s="202"/>
      <c r="J48" s="202"/>
      <c r="K48" s="92" t="str">
        <f>$B24&amp;CHAR(10)&amp;$A$1</f>
        <v>Operating profit per kW day at sea (£)
Gill netters</v>
      </c>
      <c r="L48" s="202"/>
      <c r="M48" s="202"/>
      <c r="N48" s="202"/>
      <c r="O48" s="202"/>
      <c r="P48" s="202"/>
    </row>
    <row r="49" spans="1:11" s="80" customFormat="1">
      <c r="A49" s="92" t="str">
        <f>$B22&amp;CHAR(10)&amp;$A$1</f>
        <v>Fishing income per kW day at sea (£)
Gill netters</v>
      </c>
      <c r="B49" s="202"/>
      <c r="C49" s="202"/>
      <c r="D49" s="202"/>
      <c r="E49" s="202"/>
      <c r="F49" s="202"/>
      <c r="G49" s="202"/>
      <c r="H49" s="202"/>
      <c r="I49" s="202"/>
      <c r="J49" s="202"/>
      <c r="K49" s="202"/>
    </row>
    <row r="50" spans="1:11" s="80" customFormat="1">
      <c r="A50" s="92" t="str">
        <f>$B20&amp;CHAR(10)&amp;$A$1</f>
        <v>Average price per tonne landed (£)
Gill netters</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Gill netters</v>
      </c>
      <c r="C62" s="202"/>
      <c r="D62" s="202"/>
      <c r="E62" s="202"/>
      <c r="F62" s="92" t="str">
        <f>$B20&amp;CHAR(10)&amp;$A$1</f>
        <v>Average price per tonne landed (£)
Gill netters</v>
      </c>
      <c r="G62" s="202"/>
      <c r="H62" s="202"/>
      <c r="I62" s="202"/>
      <c r="J62" s="202"/>
      <c r="K62" s="92" t="str">
        <f>"Average annual operating profit per vessel (£'000)"&amp;CHAR(10)&amp;$A$1</f>
        <v>Average annual operating profit per vessel (£'000)
Gill netters</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Gill netters</v>
      </c>
      <c r="F76" s="92" t="str">
        <f>"Top 5 landed species by value in "&amp;A77&amp;CHAR(10)&amp;A1</f>
        <v>Top 5 landed species by value in 2019
Gill netters</v>
      </c>
    </row>
    <row r="77" spans="1:11" s="92" customFormat="1">
      <c r="A77" s="92">
        <v>2019</v>
      </c>
      <c r="B77" s="92" t="s">
        <v>330</v>
      </c>
      <c r="C77" s="93">
        <v>0.42203033190454908</v>
      </c>
      <c r="D77" s="94">
        <v>12153634</v>
      </c>
      <c r="G77" s="92" t="s">
        <v>331</v>
      </c>
      <c r="H77" s="93">
        <v>0.50237465013106042</v>
      </c>
      <c r="I77" s="94">
        <v>12153634</v>
      </c>
      <c r="K77" s="92" t="s">
        <v>230</v>
      </c>
    </row>
    <row r="78" spans="1:11" s="92" customFormat="1">
      <c r="B78" s="92" t="s">
        <v>332</v>
      </c>
      <c r="C78" s="93">
        <v>0.26892265253584557</v>
      </c>
      <c r="D78" s="94">
        <v>553960</v>
      </c>
      <c r="G78" s="92" t="s">
        <v>333</v>
      </c>
      <c r="H78" s="93">
        <v>0.33581712926961754</v>
      </c>
      <c r="I78" s="94">
        <v>553960</v>
      </c>
    </row>
    <row r="79" spans="1:11" s="92" customFormat="1">
      <c r="B79" s="92" t="s">
        <v>334</v>
      </c>
      <c r="C79" s="93">
        <v>0.1671462386338719</v>
      </c>
      <c r="D79" s="94">
        <v>3689192</v>
      </c>
      <c r="G79" s="92" t="s">
        <v>335</v>
      </c>
      <c r="H79" s="93">
        <v>3.9212735445547618E-2</v>
      </c>
      <c r="I79" s="94">
        <v>3050596</v>
      </c>
    </row>
    <row r="80" spans="1:11" s="92" customFormat="1">
      <c r="B80" s="92" t="s">
        <v>336</v>
      </c>
      <c r="C80" s="93">
        <v>4.9574525380606888E-2</v>
      </c>
      <c r="D80" s="94">
        <v>1692097</v>
      </c>
      <c r="G80" s="92" t="s">
        <v>337</v>
      </c>
      <c r="H80" s="93">
        <v>3.0681379718926597E-2</v>
      </c>
      <c r="I80" s="94">
        <v>1692097</v>
      </c>
    </row>
    <row r="81" spans="1:19" s="92" customFormat="1">
      <c r="B81" s="92" t="s">
        <v>338</v>
      </c>
      <c r="C81" s="93">
        <v>1.1794322258694272E-2</v>
      </c>
      <c r="D81" s="94">
        <v>11115023</v>
      </c>
      <c r="G81" s="92" t="s">
        <v>339</v>
      </c>
      <c r="H81" s="93">
        <v>2.1975852948329128E-2</v>
      </c>
      <c r="I81" s="94">
        <v>3689192</v>
      </c>
    </row>
    <row r="82" spans="1:19" s="92" customFormat="1">
      <c r="B82" s="92" t="s">
        <v>340</v>
      </c>
      <c r="C82" s="93">
        <v>8.0531929286432269E-2</v>
      </c>
      <c r="D82" s="94">
        <v>5920853</v>
      </c>
      <c r="G82" s="92" t="s">
        <v>341</v>
      </c>
      <c r="H82" s="93">
        <v>6.9938252486518748E-2</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161</v>
      </c>
      <c r="D92" s="98">
        <v>0.56217144350060921</v>
      </c>
      <c r="E92" s="98">
        <v>0.57545101582194691</v>
      </c>
      <c r="F92" s="98">
        <v>0.50116003545755916</v>
      </c>
      <c r="G92" s="98">
        <v>0.5264204761957747</v>
      </c>
      <c r="H92" s="98">
        <v>0.53102206261319262</v>
      </c>
      <c r="I92" s="98">
        <v>0.50246725849183882</v>
      </c>
      <c r="J92" s="98">
        <v>0.43498323178678439</v>
      </c>
      <c r="K92" s="98">
        <v>0.39245515808732206</v>
      </c>
      <c r="L92" s="98">
        <v>0.50237465013106042</v>
      </c>
      <c r="M92" s="98">
        <v>0.45616524978771328</v>
      </c>
      <c r="O92" s="92">
        <v>12153634</v>
      </c>
    </row>
    <row r="93" spans="1:19" s="92" customFormat="1" hidden="1">
      <c r="B93" s="92">
        <v>2</v>
      </c>
      <c r="C93" s="92" t="s">
        <v>165</v>
      </c>
      <c r="D93" s="98">
        <v>3.710032328858421E-2</v>
      </c>
      <c r="E93" s="98">
        <v>6.5611814848101926E-2</v>
      </c>
      <c r="F93" s="98">
        <v>0.13999365104237649</v>
      </c>
      <c r="G93" s="98">
        <v>0.11614284088730938</v>
      </c>
      <c r="H93" s="98">
        <v>0.17386423956225144</v>
      </c>
      <c r="I93" s="98">
        <v>0.15024753196050067</v>
      </c>
      <c r="J93" s="98">
        <v>0.26114922089122727</v>
      </c>
      <c r="K93" s="98">
        <v>0.36356795311225626</v>
      </c>
      <c r="L93" s="98">
        <v>0.33581712926961754</v>
      </c>
      <c r="M93" s="98">
        <v>0.27852660806601864</v>
      </c>
      <c r="O93" s="92">
        <v>553960</v>
      </c>
    </row>
    <row r="94" spans="1:19" s="92" customFormat="1" hidden="1">
      <c r="B94" s="92">
        <v>3</v>
      </c>
      <c r="C94" s="92" t="s">
        <v>286</v>
      </c>
      <c r="D94" s="98">
        <v>7.3146774832734629E-2</v>
      </c>
      <c r="E94" s="98">
        <v>5.0010328821231007E-2</v>
      </c>
      <c r="F94" s="98">
        <v>4.6203385419087896E-2</v>
      </c>
      <c r="G94" s="98">
        <v>5.7566587462359937E-2</v>
      </c>
      <c r="H94" s="98">
        <v>7.4084531282658544E-2</v>
      </c>
      <c r="I94" s="98">
        <v>6.2957726183678231E-2</v>
      </c>
      <c r="J94" s="98">
        <v>7.7523907466365657E-2</v>
      </c>
      <c r="K94" s="98">
        <v>5.2389363514394251E-2</v>
      </c>
      <c r="L94" s="98">
        <v>3.9212735445547618E-2</v>
      </c>
      <c r="M94" s="98">
        <v>3.0707684245313012E-2</v>
      </c>
      <c r="O94" s="92">
        <v>3050596</v>
      </c>
    </row>
    <row r="95" spans="1:19" s="92" customFormat="1" hidden="1">
      <c r="B95" s="92">
        <v>4</v>
      </c>
      <c r="C95" s="92" t="s">
        <v>242</v>
      </c>
      <c r="D95" s="98">
        <v>0.14422191482794985</v>
      </c>
      <c r="E95" s="98">
        <v>0.12701210956048822</v>
      </c>
      <c r="F95" s="98">
        <v>0.12690128575604356</v>
      </c>
      <c r="G95" s="98">
        <v>8.9997113815497076E-2</v>
      </c>
      <c r="H95" s="98">
        <v>0.10451047323682797</v>
      </c>
      <c r="I95" s="98">
        <v>0.13816913933642477</v>
      </c>
      <c r="J95" s="98">
        <v>8.3623613441905359E-2</v>
      </c>
      <c r="K95" s="98">
        <v>5.3129253089279786E-2</v>
      </c>
      <c r="L95" s="98">
        <v>3.0681379718926597E-2</v>
      </c>
      <c r="M95" s="98">
        <v>8.7168961515929635E-2</v>
      </c>
      <c r="O95" s="92">
        <v>1692097</v>
      </c>
    </row>
    <row r="96" spans="1:19" s="92" customFormat="1" hidden="1">
      <c r="B96" s="92">
        <v>5</v>
      </c>
      <c r="C96" s="92" t="s">
        <v>342</v>
      </c>
      <c r="D96" s="98"/>
      <c r="E96" s="98"/>
      <c r="F96" s="98">
        <v>4.9621307553054245E-2</v>
      </c>
      <c r="G96" s="98"/>
      <c r="H96" s="98">
        <v>2.1254795697274315E-2</v>
      </c>
      <c r="I96" s="98"/>
      <c r="J96" s="98">
        <v>3.3742581017777599E-2</v>
      </c>
      <c r="K96" s="98">
        <v>4.4981469394183744E-2</v>
      </c>
      <c r="L96" s="98">
        <v>2.1975852948329128E-2</v>
      </c>
      <c r="M96" s="98">
        <v>5.0525740010655067E-2</v>
      </c>
      <c r="O96" s="92">
        <v>3689192</v>
      </c>
    </row>
    <row r="97" spans="1:15" s="92" customFormat="1" hidden="1">
      <c r="B97" s="92">
        <v>6</v>
      </c>
      <c r="C97" s="92" t="s">
        <v>241</v>
      </c>
      <c r="D97" s="98">
        <v>4.2084012088247233E-2</v>
      </c>
      <c r="E97" s="98">
        <v>4.6716316234309892E-2</v>
      </c>
      <c r="F97" s="98"/>
      <c r="G97" s="98"/>
      <c r="H97" s="98"/>
      <c r="I97" s="98">
        <v>2.6820950027011702E-2</v>
      </c>
      <c r="J97" s="98"/>
      <c r="K97" s="98"/>
      <c r="L97" s="98"/>
      <c r="M97" s="98"/>
      <c r="O97" s="92">
        <v>11115023</v>
      </c>
    </row>
    <row r="98" spans="1:15" s="92" customFormat="1" hidden="1">
      <c r="B98" s="92">
        <v>7</v>
      </c>
      <c r="C98" s="92" t="s">
        <v>168</v>
      </c>
      <c r="D98" s="98"/>
      <c r="E98" s="98"/>
      <c r="F98" s="98"/>
      <c r="G98" s="98">
        <v>3.5113066632180112E-2</v>
      </c>
      <c r="H98" s="98"/>
      <c r="I98" s="98"/>
      <c r="J98" s="98"/>
      <c r="K98" s="98"/>
      <c r="L98" s="98"/>
      <c r="M98" s="98"/>
      <c r="O98" s="92">
        <v>2480382</v>
      </c>
    </row>
    <row r="99" spans="1:15" s="92" customFormat="1" hidden="1">
      <c r="B99" s="92">
        <v>8</v>
      </c>
      <c r="C99" s="92" t="s">
        <v>245</v>
      </c>
      <c r="D99" s="98">
        <v>0.1412755314618748</v>
      </c>
      <c r="E99" s="98">
        <v>0.13519841471392205</v>
      </c>
      <c r="F99" s="98">
        <v>0.1361203347718786</v>
      </c>
      <c r="G99" s="98">
        <v>0.17475991500687876</v>
      </c>
      <c r="H99" s="98">
        <v>9.526389760779512E-2</v>
      </c>
      <c r="I99" s="98">
        <v>0.11933739400054581</v>
      </c>
      <c r="J99" s="98">
        <v>0.1089774453959397</v>
      </c>
      <c r="K99" s="98">
        <v>9.3476802802563902E-2</v>
      </c>
      <c r="L99" s="98">
        <v>6.9938252486518721E-2</v>
      </c>
      <c r="M99" s="98">
        <v>9.6905756374370378E-2</v>
      </c>
      <c r="O99" s="92">
        <v>5920853</v>
      </c>
    </row>
    <row r="100" spans="1:15" s="92" customFormat="1" hidden="1">
      <c r="B100" s="92">
        <v>9</v>
      </c>
      <c r="D100" s="98"/>
      <c r="E100" s="98"/>
      <c r="F100" s="98"/>
      <c r="G100" s="98"/>
      <c r="H100" s="98"/>
      <c r="I100" s="98"/>
      <c r="J100" s="98"/>
      <c r="K100" s="98"/>
      <c r="L100" s="98"/>
      <c r="M100" s="98"/>
      <c r="O100" s="92">
        <v>8497745</v>
      </c>
    </row>
    <row r="101" spans="1:15" s="92" customFormat="1" hidden="1">
      <c r="B101" s="92">
        <v>10</v>
      </c>
      <c r="D101" s="98"/>
      <c r="E101" s="98"/>
      <c r="F101" s="98"/>
      <c r="G101" s="98"/>
      <c r="H101" s="98"/>
      <c r="I101" s="98"/>
      <c r="J101" s="98"/>
      <c r="K101" s="98"/>
      <c r="L101" s="98"/>
      <c r="M101" s="98"/>
      <c r="O101" s="92">
        <v>14393110</v>
      </c>
    </row>
    <row r="102" spans="1:15" s="92" customFormat="1" hidden="1">
      <c r="B102" s="92">
        <v>11</v>
      </c>
      <c r="D102" s="98"/>
      <c r="E102" s="98"/>
      <c r="F102" s="98"/>
      <c r="G102" s="98"/>
      <c r="H102" s="98"/>
      <c r="I102" s="98"/>
      <c r="J102" s="98"/>
      <c r="K102" s="98"/>
      <c r="L102" s="98"/>
      <c r="M102" s="98"/>
      <c r="O102" s="92">
        <v>2887140</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9</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7</v>
      </c>
      <c r="D120" s="54">
        <v>13</v>
      </c>
      <c r="E120" s="54">
        <v>7</v>
      </c>
      <c r="F120" s="55">
        <v>27</v>
      </c>
    </row>
    <row r="121" spans="1:15" ht="18" customHeight="1">
      <c r="A121" s="173" t="s">
        <v>191</v>
      </c>
      <c r="B121" s="33" t="s">
        <v>192</v>
      </c>
      <c r="C121" s="56">
        <v>27.412857055664063</v>
      </c>
      <c r="D121" s="56">
        <v>17.424615493187538</v>
      </c>
      <c r="E121" s="56">
        <v>16.882856369018555</v>
      </c>
      <c r="F121" s="57">
        <v>19.873703002929688</v>
      </c>
      <c r="G121" s="206"/>
      <c r="H121" s="206"/>
      <c r="I121" s="206"/>
      <c r="J121" s="206"/>
      <c r="K121" s="206"/>
      <c r="L121" s="206"/>
      <c r="M121" s="206"/>
      <c r="N121" s="206"/>
      <c r="O121" s="206"/>
    </row>
    <row r="122" spans="1:15" ht="18" customHeight="1">
      <c r="A122" s="174"/>
      <c r="B122" s="35" t="s">
        <v>184</v>
      </c>
      <c r="C122" s="58">
        <v>419.14285278320313</v>
      </c>
      <c r="D122" s="58">
        <v>297.61538696289063</v>
      </c>
      <c r="E122" s="58">
        <v>214</v>
      </c>
      <c r="F122" s="59">
        <v>307.4444580078125</v>
      </c>
      <c r="G122" s="206"/>
      <c r="H122" s="206"/>
      <c r="I122" s="206"/>
      <c r="J122" s="206"/>
      <c r="K122" s="206"/>
      <c r="L122" s="206"/>
      <c r="M122" s="206"/>
      <c r="N122" s="206"/>
      <c r="O122" s="206"/>
    </row>
    <row r="123" spans="1:15" ht="18" customHeight="1">
      <c r="A123" s="174"/>
      <c r="B123" s="35" t="s">
        <v>185</v>
      </c>
      <c r="C123" s="58">
        <v>209.28572082519531</v>
      </c>
      <c r="D123" s="58">
        <v>108.53846153846153</v>
      </c>
      <c r="E123" s="58">
        <v>84.714286804199219</v>
      </c>
      <c r="F123" s="59">
        <v>128.48147583007813</v>
      </c>
      <c r="G123" s="206"/>
      <c r="H123" s="206"/>
      <c r="I123" s="206"/>
      <c r="J123" s="206"/>
      <c r="K123" s="206"/>
      <c r="L123" s="206"/>
      <c r="M123" s="206"/>
      <c r="N123" s="206"/>
      <c r="O123" s="206"/>
    </row>
    <row r="124" spans="1:15" ht="18" customHeight="1">
      <c r="A124" s="174"/>
      <c r="B124" s="35" t="s">
        <v>186</v>
      </c>
      <c r="C124" s="58">
        <v>383.23867797851563</v>
      </c>
      <c r="D124" s="58">
        <v>242.7899169921875</v>
      </c>
      <c r="E124" s="58">
        <v>195.37344360351563</v>
      </c>
      <c r="F124" s="59">
        <v>266.90939331054688</v>
      </c>
      <c r="G124" s="206"/>
      <c r="H124" s="206"/>
      <c r="I124" s="206"/>
      <c r="J124" s="206"/>
      <c r="K124" s="206"/>
      <c r="L124" s="206"/>
      <c r="M124" s="206"/>
      <c r="N124" s="206"/>
      <c r="O124" s="206"/>
    </row>
    <row r="125" spans="1:15" ht="18" customHeight="1">
      <c r="A125" s="174"/>
      <c r="B125" s="35" t="s">
        <v>187</v>
      </c>
      <c r="C125" s="31">
        <v>455.4012451171875</v>
      </c>
      <c r="D125" s="31">
        <v>316.19090036245495</v>
      </c>
      <c r="E125" s="31">
        <v>141.42300415039063</v>
      </c>
      <c r="F125" s="60">
        <v>306.97225952148438</v>
      </c>
      <c r="G125" s="206"/>
      <c r="H125" s="206"/>
      <c r="I125" s="206"/>
      <c r="J125" s="206"/>
      <c r="K125" s="206"/>
      <c r="L125" s="206"/>
      <c r="M125" s="206"/>
      <c r="N125" s="206"/>
      <c r="O125" s="206"/>
    </row>
    <row r="126" spans="1:15" ht="18" customHeight="1">
      <c r="A126" s="174"/>
      <c r="B126" s="35" t="s">
        <v>193</v>
      </c>
      <c r="C126" s="31">
        <f ca="1">1444.216875*OFFSET($L$112,MATCH($N$1,$C$112:$C$113,0)-1,0)</f>
        <v>1444.2168750000001</v>
      </c>
      <c r="D126" s="31">
        <f ca="1">722.958538461539*OFFSET($L$112,MATCH($N$1,$C$112:$C$113,0)-1,0)</f>
        <v>722.95853846153898</v>
      </c>
      <c r="E126" s="31">
        <f ca="1">223.089390625*OFFSET($L$112,MATCH($N$1,$C$112:$C$113,0)-1,0)</f>
        <v>223.08939062499999</v>
      </c>
      <c r="F126" s="60">
        <f ca="1">780.35575*OFFSET($L$112,MATCH($N$1,$C$112:$C$113,0)-1,0)</f>
        <v>780.35574999999994</v>
      </c>
      <c r="G126" s="206"/>
      <c r="H126" s="206"/>
      <c r="I126" s="206"/>
      <c r="J126" s="206"/>
      <c r="K126" s="206"/>
      <c r="L126" s="206"/>
      <c r="M126" s="206"/>
      <c r="N126" s="206"/>
      <c r="O126" s="206"/>
    </row>
    <row r="127" spans="1:15" ht="18" customHeight="1">
      <c r="A127" s="174"/>
      <c r="B127" s="35" t="s">
        <v>189</v>
      </c>
      <c r="C127" s="58">
        <v>176.71427917480469</v>
      </c>
      <c r="D127" s="58">
        <v>176.15384498009314</v>
      </c>
      <c r="E127" s="58">
        <v>141</v>
      </c>
      <c r="F127" s="59">
        <v>167.1851806640625</v>
      </c>
      <c r="G127" s="206"/>
      <c r="H127" s="206"/>
      <c r="I127" s="206"/>
      <c r="J127" s="206"/>
      <c r="K127" s="206"/>
      <c r="L127" s="206"/>
      <c r="M127" s="206"/>
      <c r="N127" s="206"/>
      <c r="O127" s="206"/>
    </row>
    <row r="128" spans="1:15" ht="18" customHeight="1">
      <c r="A128" s="174"/>
      <c r="B128" s="35" t="s">
        <v>194</v>
      </c>
      <c r="C128" s="58">
        <v>39.285713195800781</v>
      </c>
      <c r="D128" s="58">
        <v>28.384615678053635</v>
      </c>
      <c r="E128" s="58">
        <v>42.285713195800781</v>
      </c>
      <c r="F128" s="59">
        <v>34.814815521240234</v>
      </c>
      <c r="G128" s="206"/>
      <c r="H128" s="206"/>
      <c r="I128" s="206"/>
      <c r="J128" s="206"/>
      <c r="K128" s="206"/>
      <c r="L128" s="206"/>
      <c r="M128" s="206"/>
      <c r="N128" s="206"/>
      <c r="O128" s="206"/>
    </row>
    <row r="129" spans="1:15" ht="18" customHeight="1">
      <c r="A129" s="174"/>
      <c r="B129" s="35" t="s">
        <v>195</v>
      </c>
      <c r="C129" s="61">
        <v>2.5770483016967773</v>
      </c>
      <c r="D129" s="61">
        <v>1.794970188690387</v>
      </c>
      <c r="E129" s="61">
        <v>1.003000020980835</v>
      </c>
      <c r="F129" s="62">
        <v>1.8361212015151978</v>
      </c>
      <c r="G129" s="206"/>
      <c r="H129" s="206"/>
      <c r="I129" s="206"/>
      <c r="J129" s="206"/>
      <c r="K129" s="206"/>
      <c r="L129" s="206"/>
      <c r="M129" s="206"/>
      <c r="N129" s="206"/>
      <c r="O129" s="206"/>
    </row>
    <row r="130" spans="1:15" ht="18" customHeight="1">
      <c r="A130" s="175"/>
      <c r="B130" s="37" t="s">
        <v>196</v>
      </c>
      <c r="C130" s="38">
        <f ca="1">3171.3063819761*OFFSET($L$112,MATCH($N$1,$C$112:$C$113,0)-1,0)</f>
        <v>3171.3063819761001</v>
      </c>
      <c r="D130" s="38">
        <f ca="1">2286.4621898758*OFFSET($L$112,MATCH($N$1,$C$112:$C$113,0)-1,0)</f>
        <v>2286.4621898758</v>
      </c>
      <c r="E130" s="38">
        <f ca="1">1577.46182783506*OFFSET($L$112,MATCH($N$1,$C$112:$C$113,0)-1,0)</f>
        <v>1577.4618278350599</v>
      </c>
      <c r="F130" s="63">
        <f ca="1">2542*OFFSET($L$112,MATCH($N$1,$C$112:$C$113,0)-1,0)</f>
        <v>2542</v>
      </c>
      <c r="G130" s="206"/>
      <c r="H130" s="206"/>
      <c r="I130" s="206"/>
      <c r="J130" s="206"/>
      <c r="K130" s="206"/>
      <c r="L130" s="206"/>
      <c r="M130" s="206"/>
      <c r="N130" s="206"/>
      <c r="O130" s="206"/>
    </row>
    <row r="131" spans="1:15" ht="18" customHeight="1">
      <c r="A131" s="184" t="s">
        <v>197</v>
      </c>
      <c r="B131" s="33" t="s">
        <v>198</v>
      </c>
      <c r="C131" s="64">
        <v>4.9377383733119302</v>
      </c>
      <c r="D131" s="64">
        <v>5.7565497130875478</v>
      </c>
      <c r="E131" s="64">
        <v>3.6473804949412694</v>
      </c>
      <c r="F131" s="65">
        <v>5.0814779155069756</v>
      </c>
      <c r="G131" s="206"/>
      <c r="H131" s="206"/>
      <c r="I131" s="206"/>
      <c r="J131" s="206"/>
      <c r="K131" s="206"/>
      <c r="L131" s="206"/>
      <c r="M131" s="206"/>
      <c r="N131" s="206"/>
      <c r="O131" s="206"/>
    </row>
    <row r="132" spans="1:15" ht="18" customHeight="1">
      <c r="A132" s="185"/>
      <c r="B132" s="35" t="s">
        <v>199</v>
      </c>
      <c r="C132" s="61">
        <f ca="1">15.6590812158124*OFFSET($L$112,MATCH($N$1,$C$112:$C$113,0)-1,0)</f>
        <v>15.6590812158124</v>
      </c>
      <c r="D132" s="61">
        <f ca="1">13.162133263115*OFFSET($L$112,MATCH($N$1,$C$112:$C$113,0)-1,0)</f>
        <v>13.162133263115001</v>
      </c>
      <c r="E132" s="61">
        <f ca="1">5.75360350235999*OFFSET($L$112,MATCH($N$1,$C$112:$C$113,0)-1,0)</f>
        <v>5.7536035023599901</v>
      </c>
      <c r="F132" s="62">
        <f ca="1">12.9176509826822*OFFSET($L$112,MATCH($N$1,$C$112:$C$113,0)-1,0)</f>
        <v>12.917650982682201</v>
      </c>
      <c r="G132" s="206"/>
      <c r="H132" s="206"/>
      <c r="I132" s="206"/>
      <c r="J132" s="206"/>
      <c r="K132" s="206"/>
      <c r="L132" s="206"/>
      <c r="M132" s="206"/>
      <c r="N132" s="206"/>
      <c r="O132" s="206"/>
    </row>
    <row r="133" spans="1:15" ht="18" customHeight="1">
      <c r="A133" s="185"/>
      <c r="B133" s="35" t="s">
        <v>154</v>
      </c>
      <c r="C133" s="61">
        <f ca="1">13.2737502514766*OFFSET($L$112,MATCH($N$1,$C$112:$C$113,0)-1,0)</f>
        <v>13.273750251476599</v>
      </c>
      <c r="D133" s="61">
        <f ca="1">11.6035860497995*OFFSET($L$112,MATCH($N$1,$C$112:$C$113,0)-1,0)</f>
        <v>11.6035860497995</v>
      </c>
      <c r="E133" s="61">
        <f ca="1">5.53590748115047*OFFSET($L$112,MATCH($N$1,$C$112:$C$113,0)-1,0)</f>
        <v>5.5359074811504696</v>
      </c>
      <c r="F133" s="62">
        <f ca="1">11.2549741289491*OFFSET($L$112,MATCH($N$1,$C$112:$C$113,0)-1,0)</f>
        <v>11.254974128949099</v>
      </c>
      <c r="G133" s="206"/>
      <c r="H133" s="206"/>
      <c r="I133" s="206"/>
      <c r="J133" s="206"/>
      <c r="K133" s="206"/>
      <c r="L133" s="206"/>
      <c r="M133" s="206"/>
      <c r="N133" s="206"/>
      <c r="O133" s="206"/>
    </row>
    <row r="134" spans="1:15" ht="18" customHeight="1">
      <c r="A134" s="186"/>
      <c r="B134" s="37" t="s">
        <v>155</v>
      </c>
      <c r="C134" s="66">
        <f ca="1">2.38533096433586*OFFSET($L$112,MATCH($N$1,$C$112:$C$113,0)-1,0)</f>
        <v>2.3853309643358598</v>
      </c>
      <c r="D134" s="66">
        <f ca="1">1.55854721331557*OFFSET($L$112,MATCH($N$1,$C$112:$C$113,0)-1,0)</f>
        <v>1.55854721331557</v>
      </c>
      <c r="E134" s="66">
        <f ca="1">0.217696021209524*OFFSET($L$112,MATCH($N$1,$C$112:$C$113,0)-1,0)</f>
        <v>0.217696021209524</v>
      </c>
      <c r="F134" s="67">
        <f ca="1">1.6626768537331*OFFSET($L$112,MATCH($N$1,$C$112:$C$113,0)-1,0)</f>
        <v>1.6626768537331</v>
      </c>
      <c r="G134" s="206"/>
      <c r="H134" s="206"/>
      <c r="I134" s="206"/>
      <c r="J134" s="206"/>
      <c r="K134" s="206"/>
      <c r="L134" s="206"/>
      <c r="M134" s="206"/>
      <c r="N134" s="206"/>
      <c r="O134" s="206"/>
    </row>
    <row r="135" spans="1:15" ht="18" customHeight="1">
      <c r="A135" s="187" t="s">
        <v>254</v>
      </c>
      <c r="B135" s="35" t="s">
        <v>255</v>
      </c>
      <c r="C135" s="68">
        <f ca="1">52.66580078125*OFFSET($L$112,MATCH($N$1,$C$112:$C$113,0)-1,0)</f>
        <v>52.665800781249999</v>
      </c>
      <c r="D135" s="68">
        <f ca="1">50.8848269230769*OFFSET($L$112,MATCH($N$1,$C$112:$C$113,0)-1,0)</f>
        <v>50.884826923076901</v>
      </c>
      <c r="E135" s="68">
        <f ca="1">33.67738671875*OFFSET($L$112,MATCH($N$1,$C$112:$C$113,0)-1,0)</f>
        <v>33.67738671875</v>
      </c>
      <c r="F135" s="69">
        <f ca="1">46.885375*OFFSET($L$112,MATCH($N$1,$C$112:$C$113,0)-1,0)</f>
        <v>46.885375000000003</v>
      </c>
      <c r="G135" s="206"/>
      <c r="H135" s="206"/>
      <c r="I135" s="206"/>
      <c r="J135" s="206"/>
      <c r="K135" s="206"/>
      <c r="L135" s="206"/>
      <c r="M135" s="206"/>
      <c r="N135" s="206"/>
      <c r="O135" s="206"/>
    </row>
    <row r="136" spans="1:15" ht="18" customHeight="1">
      <c r="A136" s="188"/>
      <c r="B136" s="35" t="s">
        <v>256</v>
      </c>
      <c r="C136" s="30">
        <v>100714.28247553855</v>
      </c>
      <c r="D136" s="30">
        <v>97000.002822490409</v>
      </c>
      <c r="E136" s="30">
        <v>64314.287658691406</v>
      </c>
      <c r="F136" s="70">
        <v>89488.888888888891</v>
      </c>
      <c r="G136" s="206"/>
      <c r="H136" s="206"/>
      <c r="I136" s="206"/>
      <c r="J136" s="206"/>
      <c r="K136" s="206"/>
      <c r="L136" s="206"/>
      <c r="M136" s="206"/>
      <c r="N136" s="206"/>
      <c r="O136" s="206"/>
    </row>
    <row r="137" spans="1:15" ht="18" customHeight="1">
      <c r="A137" s="188"/>
      <c r="B137" s="35" t="s">
        <v>257</v>
      </c>
      <c r="C137" s="30">
        <v>569.92724609375</v>
      </c>
      <c r="D137" s="30">
        <v>550.65504152607184</v>
      </c>
      <c r="E137" s="30">
        <v>456.12969970703125</v>
      </c>
      <c r="F137" s="70">
        <v>535.26806640625</v>
      </c>
      <c r="G137" s="206"/>
      <c r="H137" s="206"/>
      <c r="I137" s="206"/>
      <c r="J137" s="206"/>
      <c r="K137" s="206"/>
      <c r="L137" s="206"/>
      <c r="M137" s="206"/>
      <c r="N137" s="206"/>
      <c r="O137" s="206"/>
    </row>
    <row r="138" spans="1:15" ht="18" customHeight="1">
      <c r="A138" s="188"/>
      <c r="B138" s="35" t="s">
        <v>258</v>
      </c>
      <c r="C138" s="30">
        <f ca="1">298.027986347121*OFFSET($L$112,MATCH($N$1,$C$112:$C$113,0)-1,0)</f>
        <v>298.02798634712099</v>
      </c>
      <c r="D138" s="30">
        <f ca="1">288.865831619102*OFFSET($L$112,MATCH($N$1,$C$112:$C$113,0)-1,0)</f>
        <v>288.86583161910198</v>
      </c>
      <c r="E138" s="30">
        <f ca="1">238.846714317376*OFFSET($L$112,MATCH($N$1,$C$112:$C$113,0)-1,0)</f>
        <v>238.84671431737601</v>
      </c>
      <c r="F138" s="70">
        <f ca="1">280.439778297158*OFFSET($L$112,MATCH($N$1,$C$112:$C$113,0)-1,0)</f>
        <v>280.439778297158</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115.64702851811*OFFSET($L$112,MATCH($N$1,$C$112:$C$113,0)-1,0)</f>
        <v>115.64702851811001</v>
      </c>
      <c r="D139" s="30">
        <f ca="1">160.930712631979*OFFSET($L$112,MATCH($N$1,$C$112:$C$113,0)-1,0)</f>
        <v>160.93071263197899</v>
      </c>
      <c r="E139" s="30">
        <f ca="1">238.132310376727*OFFSET($L$112,MATCH($N$1,$C$112:$C$113,0)-1,0)</f>
        <v>238.13231037672699</v>
      </c>
      <c r="F139" s="70">
        <f ca="1">152.734892309442*OFFSET($L$112,MATCH($N$1,$C$112:$C$113,0)-1,0)</f>
        <v>152.73489230944199</v>
      </c>
      <c r="G139" s="206"/>
      <c r="H139" s="206"/>
      <c r="I139" s="46"/>
      <c r="J139" s="206"/>
      <c r="K139" s="71" t="s">
        <v>260</v>
      </c>
      <c r="L139" s="72">
        <f t="shared" ref="L139:M141" ca="1" si="2">C140</f>
        <v>1444.2257500000001</v>
      </c>
      <c r="M139" s="72">
        <f t="shared" ca="1" si="2"/>
        <v>722.96296874999996</v>
      </c>
      <c r="N139" s="72">
        <f ca="1">E140</f>
        <v>223.09075000000001</v>
      </c>
      <c r="O139" s="72"/>
    </row>
    <row r="140" spans="1:15" ht="18" customHeight="1">
      <c r="A140" s="166" t="s">
        <v>261</v>
      </c>
      <c r="B140" s="33" t="s">
        <v>262</v>
      </c>
      <c r="C140" s="73">
        <f ca="1">1444.22575*OFFSET($L$112,MATCH($N$1,$C$112:$C$113,0)-1,0)</f>
        <v>1444.2257500000001</v>
      </c>
      <c r="D140" s="73">
        <f ca="1">722.96296875*OFFSET($L$112,MATCH($N$1,$C$112:$C$113,0)-1,0)</f>
        <v>722.96296874999996</v>
      </c>
      <c r="E140" s="73">
        <f ca="1">223.09075*OFFSET($L$112,MATCH($N$1,$C$112:$C$113,0)-1,0)</f>
        <v>223.09075000000001</v>
      </c>
      <c r="F140" s="74">
        <f ca="1">780.3605*OFFSET($L$112,MATCH($N$1,$C$112:$C$113,0)-1,0)</f>
        <v>780.3605</v>
      </c>
      <c r="G140" s="206"/>
      <c r="H140" s="206"/>
      <c r="I140" s="46"/>
      <c r="J140" s="206"/>
      <c r="K140" s="71" t="s">
        <v>263</v>
      </c>
      <c r="L140" s="72">
        <f t="shared" ca="1" si="2"/>
        <v>1224.22975</v>
      </c>
      <c r="M140" s="72">
        <f t="shared" ca="1" si="2"/>
        <v>637.35640384615397</v>
      </c>
      <c r="N140" s="72">
        <f ca="1">E141</f>
        <v>214.64984375</v>
      </c>
      <c r="O140" s="72"/>
    </row>
    <row r="141" spans="1:15" ht="18" customHeight="1">
      <c r="A141" s="167"/>
      <c r="B141" s="35" t="s">
        <v>264</v>
      </c>
      <c r="C141" s="30">
        <f ca="1">1224.22975*OFFSET($L$112,MATCH($N$1,$C$112:$C$113,0)-1,0)</f>
        <v>1224.22975</v>
      </c>
      <c r="D141" s="30">
        <f ca="1">637.356403846154*OFFSET($L$112,MATCH($N$1,$C$112:$C$113,0)-1,0)</f>
        <v>637.35640384615397</v>
      </c>
      <c r="E141" s="30">
        <f ca="1">214.64984375*OFFSET($L$112,MATCH($N$1,$C$112:$C$113,0)-1,0)</f>
        <v>214.64984375</v>
      </c>
      <c r="F141" s="70">
        <f ca="1">679.9181875*OFFSET($L$112,MATCH($N$1,$C$112:$C$113,0)-1,0)</f>
        <v>679.91818750000004</v>
      </c>
      <c r="G141" s="206"/>
      <c r="H141" s="206"/>
      <c r="I141" s="46"/>
      <c r="J141" s="206"/>
      <c r="K141" s="71" t="s">
        <v>265</v>
      </c>
      <c r="L141" s="72">
        <f t="shared" ca="1" si="2"/>
        <v>219.99600000000001</v>
      </c>
      <c r="M141" s="72">
        <f t="shared" ca="1" si="2"/>
        <v>85.606564903846106</v>
      </c>
      <c r="N141" s="72">
        <f ca="1">E142</f>
        <v>8.4409062499999994</v>
      </c>
      <c r="O141" s="72"/>
    </row>
    <row r="142" spans="1:15" ht="18" customHeight="1">
      <c r="A142" s="168"/>
      <c r="B142" s="37" t="s">
        <v>266</v>
      </c>
      <c r="C142" s="38">
        <f ca="1">219.996*OFFSET($L$112,MATCH($N$1,$C$112:$C$113,0)-1,0)</f>
        <v>219.99600000000001</v>
      </c>
      <c r="D142" s="38">
        <f ca="1">85.6065649038461*OFFSET($L$112,MATCH($N$1,$C$112:$C$113,0)-1,0)</f>
        <v>85.606564903846106</v>
      </c>
      <c r="E142" s="38">
        <f ca="1">8.44090625*OFFSET($L$112,MATCH($N$1,$C$112:$C$113,0)-1,0)</f>
        <v>8.4409062499999994</v>
      </c>
      <c r="F142" s="63">
        <f ca="1">100.4423671875*OFFSET($L$112,MATCH($N$1,$C$112:$C$113,0)-1,0)</f>
        <v>100.4423671875</v>
      </c>
      <c r="G142" s="206"/>
      <c r="H142" s="206"/>
      <c r="I142" s="46"/>
      <c r="J142" s="206"/>
      <c r="K142" s="71" t="s">
        <v>267</v>
      </c>
      <c r="L142" s="75">
        <f ca="1">IFERROR(L140/L$139,"")</f>
        <v>0.84767201388010149</v>
      </c>
      <c r="M142" s="75">
        <f t="shared" ref="M142:N143" ca="1" si="3">IFERROR(M140/M$139,"")</f>
        <v>0.88158928105009393</v>
      </c>
      <c r="N142" s="75">
        <f t="shared" ca="1" si="3"/>
        <v>0.96216379993343515</v>
      </c>
      <c r="O142" s="75"/>
    </row>
    <row r="143" spans="1:15" ht="18" customHeight="1">
      <c r="A143" s="206"/>
      <c r="B143" s="206"/>
      <c r="C143" s="206"/>
      <c r="D143" s="206"/>
      <c r="E143" s="206"/>
      <c r="F143" s="206"/>
      <c r="G143" s="206"/>
      <c r="H143" s="206"/>
      <c r="I143" s="46"/>
      <c r="J143" s="206"/>
      <c r="K143" s="71" t="s">
        <v>268</v>
      </c>
      <c r="L143" s="75">
        <f ca="1">IFERROR(L141/L$139,"")</f>
        <v>0.15232798611989851</v>
      </c>
      <c r="M143" s="75">
        <f t="shared" ca="1" si="3"/>
        <v>0.11841071894990626</v>
      </c>
      <c r="N143" s="75">
        <f t="shared" ca="1" si="3"/>
        <v>3.7836200066564837E-2</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11</v>
      </c>
      <c r="B161" s="51"/>
      <c r="C161" s="76" t="s">
        <v>249</v>
      </c>
      <c r="D161" s="76" t="s">
        <v>270</v>
      </c>
      <c r="E161" s="76" t="s">
        <v>251</v>
      </c>
      <c r="F161" s="76" t="s">
        <v>271</v>
      </c>
      <c r="G161" s="77">
        <v>9</v>
      </c>
      <c r="H161" s="76"/>
      <c r="I161" s="76" t="s">
        <v>249</v>
      </c>
      <c r="J161" s="76" t="s">
        <v>270</v>
      </c>
      <c r="K161" s="76" t="s">
        <v>251</v>
      </c>
      <c r="L161" s="51" t="s">
        <v>271</v>
      </c>
      <c r="R161" s="206"/>
      <c r="S161" s="206"/>
    </row>
    <row r="162" spans="1:19" s="46" customFormat="1">
      <c r="A162" s="47">
        <v>1</v>
      </c>
      <c r="B162" s="51" t="s">
        <v>165</v>
      </c>
      <c r="C162" s="51">
        <v>0.16898245298555656</v>
      </c>
      <c r="D162" s="51">
        <v>0.40440171531177693</v>
      </c>
      <c r="E162" s="51">
        <v>9.5966605610609587E-2</v>
      </c>
      <c r="F162" s="47">
        <v>553960</v>
      </c>
      <c r="G162" s="47">
        <v>1</v>
      </c>
      <c r="H162" s="51" t="s">
        <v>165</v>
      </c>
      <c r="I162" s="51">
        <v>0.15021012508032677</v>
      </c>
      <c r="J162" s="51">
        <v>0.58217635174266924</v>
      </c>
      <c r="K162" s="51">
        <v>0.18689618172324876</v>
      </c>
      <c r="L162" s="47">
        <v>553960</v>
      </c>
      <c r="R162" s="206"/>
      <c r="S162" s="206"/>
    </row>
    <row r="163" spans="1:19" s="46" customFormat="1">
      <c r="A163" s="47">
        <v>2</v>
      </c>
      <c r="B163" s="51" t="s">
        <v>342</v>
      </c>
      <c r="C163" s="51">
        <v>0</v>
      </c>
      <c r="D163" s="51">
        <v>0.35119976947518022</v>
      </c>
      <c r="E163" s="51">
        <v>0</v>
      </c>
      <c r="F163" s="47">
        <v>3689192</v>
      </c>
      <c r="G163" s="47">
        <v>2</v>
      </c>
      <c r="H163" s="51" t="s">
        <v>161</v>
      </c>
      <c r="I163" s="51">
        <v>0.79073255916523444</v>
      </c>
      <c r="J163" s="51">
        <v>0.20132289683553103</v>
      </c>
      <c r="K163" s="51">
        <v>0.49318791295699993</v>
      </c>
      <c r="L163" s="47">
        <v>12153634</v>
      </c>
      <c r="N163" s="46" t="s">
        <v>272</v>
      </c>
      <c r="R163" s="206"/>
      <c r="S163" s="206"/>
    </row>
    <row r="164" spans="1:19" s="46" customFormat="1">
      <c r="A164" s="47">
        <v>3</v>
      </c>
      <c r="B164" s="51" t="s">
        <v>161</v>
      </c>
      <c r="C164" s="51">
        <v>0.76689128748564783</v>
      </c>
      <c r="D164" s="51">
        <v>0.12085013898457578</v>
      </c>
      <c r="E164" s="51">
        <v>0.58232860267575104</v>
      </c>
      <c r="F164" s="47">
        <v>12153634</v>
      </c>
      <c r="G164" s="47">
        <v>3</v>
      </c>
      <c r="H164" s="51" t="s">
        <v>286</v>
      </c>
      <c r="I164" s="51">
        <v>1.6609898292745836E-2</v>
      </c>
      <c r="J164" s="51">
        <v>6.3255584648262059E-2</v>
      </c>
      <c r="K164" s="51">
        <v>5.5201609317361983E-2</v>
      </c>
      <c r="L164" s="47">
        <v>3050596</v>
      </c>
      <c r="N164" s="46" t="s">
        <v>273</v>
      </c>
      <c r="R164" s="206"/>
      <c r="S164" s="206"/>
    </row>
    <row r="165" spans="1:19" s="46" customFormat="1">
      <c r="A165" s="47">
        <v>4</v>
      </c>
      <c r="B165" s="51" t="s">
        <v>242</v>
      </c>
      <c r="C165" s="51">
        <v>0</v>
      </c>
      <c r="D165" s="51">
        <v>4.464320170440688E-2</v>
      </c>
      <c r="E165" s="51">
        <v>0.21894418152052703</v>
      </c>
      <c r="F165" s="47">
        <v>1692097</v>
      </c>
      <c r="G165" s="47">
        <v>4</v>
      </c>
      <c r="H165" s="51" t="s">
        <v>342</v>
      </c>
      <c r="I165" s="51">
        <v>0</v>
      </c>
      <c r="J165" s="51">
        <v>5.1197458530087704E-2</v>
      </c>
      <c r="K165" s="51">
        <v>0</v>
      </c>
      <c r="L165" s="47">
        <v>3689192</v>
      </c>
      <c r="R165" s="206"/>
      <c r="S165" s="206"/>
    </row>
    <row r="166" spans="1:19" s="46" customFormat="1">
      <c r="A166" s="47">
        <v>5</v>
      </c>
      <c r="B166" s="51" t="s">
        <v>157</v>
      </c>
      <c r="C166" s="51">
        <v>0</v>
      </c>
      <c r="D166" s="51">
        <v>1.9670356829366121E-2</v>
      </c>
      <c r="E166" s="51">
        <v>0</v>
      </c>
      <c r="F166" s="47">
        <v>11115023</v>
      </c>
      <c r="G166" s="47">
        <v>5</v>
      </c>
      <c r="H166" s="51" t="s">
        <v>242</v>
      </c>
      <c r="I166" s="51">
        <v>0</v>
      </c>
      <c r="J166" s="51">
        <v>4.6246662718797377E-2</v>
      </c>
      <c r="K166" s="51">
        <v>0.11542887549380626</v>
      </c>
      <c r="L166" s="47">
        <v>1692097</v>
      </c>
      <c r="R166" s="206"/>
      <c r="S166" s="206"/>
    </row>
    <row r="167" spans="1:19" s="46" customFormat="1">
      <c r="A167" s="47">
        <v>6</v>
      </c>
      <c r="B167" s="51" t="s">
        <v>343</v>
      </c>
      <c r="C167" s="51">
        <v>1.4769268230695191E-2</v>
      </c>
      <c r="D167" s="51">
        <v>0</v>
      </c>
      <c r="E167" s="51">
        <v>2.0569598279135369E-2</v>
      </c>
      <c r="F167" s="47">
        <v>2480382</v>
      </c>
      <c r="G167" s="47">
        <v>6</v>
      </c>
      <c r="H167" s="51" t="s">
        <v>344</v>
      </c>
      <c r="I167" s="51">
        <v>1.3525850997539545E-2</v>
      </c>
      <c r="J167" s="51">
        <v>0</v>
      </c>
      <c r="K167" s="51">
        <v>5.9483541952942684E-2</v>
      </c>
      <c r="L167" s="47">
        <v>8497745</v>
      </c>
      <c r="R167" s="206"/>
      <c r="S167" s="206"/>
    </row>
    <row r="168" spans="1:19" s="46" customFormat="1">
      <c r="A168" s="47">
        <v>7</v>
      </c>
      <c r="B168" s="51" t="s">
        <v>345</v>
      </c>
      <c r="C168" s="51">
        <v>0</v>
      </c>
      <c r="D168" s="51">
        <v>0</v>
      </c>
      <c r="E168" s="51">
        <v>1.7929999289128206E-2</v>
      </c>
      <c r="F168" s="47">
        <v>7434864</v>
      </c>
      <c r="G168" s="47">
        <v>7</v>
      </c>
      <c r="H168" s="51" t="s">
        <v>343</v>
      </c>
      <c r="I168" s="51">
        <v>6.6702289625846459E-3</v>
      </c>
      <c r="J168" s="51">
        <v>0</v>
      </c>
      <c r="K168" s="51">
        <v>0</v>
      </c>
      <c r="L168" s="47">
        <v>2480382</v>
      </c>
      <c r="R168" s="206"/>
      <c r="S168" s="206"/>
    </row>
    <row r="169" spans="1:19" s="46" customFormat="1">
      <c r="A169" s="47">
        <v>8</v>
      </c>
      <c r="B169" s="51" t="s">
        <v>244</v>
      </c>
      <c r="C169" s="51">
        <v>6.8140226151129366E-3</v>
      </c>
      <c r="D169" s="51">
        <v>0</v>
      </c>
      <c r="E169" s="51">
        <v>0</v>
      </c>
      <c r="F169" s="47">
        <v>14393110</v>
      </c>
      <c r="G169" s="47">
        <v>8</v>
      </c>
      <c r="H169" s="51" t="s">
        <v>245</v>
      </c>
      <c r="I169" s="51">
        <v>2.2251337501568713E-2</v>
      </c>
      <c r="J169" s="51">
        <v>5.5801045524652482E-2</v>
      </c>
      <c r="K169" s="51">
        <v>8.980187855564048E-2</v>
      </c>
      <c r="L169" s="47">
        <v>5920853</v>
      </c>
      <c r="R169" s="206"/>
      <c r="S169" s="206"/>
    </row>
    <row r="170" spans="1:19" s="46" customFormat="1">
      <c r="A170" s="47">
        <v>9</v>
      </c>
      <c r="B170" s="51" t="s">
        <v>346</v>
      </c>
      <c r="C170" s="51">
        <v>5.8049907603154845E-3</v>
      </c>
      <c r="D170" s="51">
        <v>0</v>
      </c>
      <c r="E170" s="51">
        <v>0</v>
      </c>
      <c r="F170" s="47">
        <v>2887140</v>
      </c>
      <c r="G170" s="47">
        <v>9</v>
      </c>
      <c r="H170" s="51"/>
      <c r="I170" s="51">
        <v>0</v>
      </c>
      <c r="J170" s="51">
        <v>0</v>
      </c>
      <c r="K170" s="51">
        <v>0</v>
      </c>
      <c r="L170" s="47"/>
      <c r="R170" s="206"/>
      <c r="S170" s="206"/>
    </row>
    <row r="171" spans="1:19" s="46" customFormat="1">
      <c r="A171" s="47">
        <v>10</v>
      </c>
      <c r="B171" s="51" t="s">
        <v>245</v>
      </c>
      <c r="C171" s="51">
        <v>3.6737977922671861E-2</v>
      </c>
      <c r="D171" s="51">
        <v>5.9234817694694075E-2</v>
      </c>
      <c r="E171" s="51">
        <v>6.4261012624848735E-2</v>
      </c>
      <c r="F171" s="47">
        <v>5920853</v>
      </c>
      <c r="G171" s="47">
        <v>10</v>
      </c>
      <c r="H171" s="51"/>
      <c r="I171" s="51">
        <v>0</v>
      </c>
      <c r="J171" s="51">
        <v>0</v>
      </c>
      <c r="K171" s="51">
        <v>0</v>
      </c>
      <c r="L171" s="47"/>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AF3CE93B-F500-4234-BC26-7F367AFD81EF}">
      <formula1>$C$112:$C$113</formula1>
    </dataValidation>
  </dataValidations>
  <hyperlinks>
    <hyperlink ref="O1:P1" location="Home_page" display="Back to home page" xr:uid="{2F0B95C8-A7EE-4C0D-8AED-1A5D6F35FA9F}"/>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08B54BD4-829C-4151-9860-27465888210F}">
          <x14:colorSeries rgb="FF323232"/>
          <x14:colorNegative rgb="FFD00000"/>
          <x14:colorAxis rgb="FF000000"/>
          <x14:colorMarkers rgb="FFD00000"/>
          <x14:colorFirst rgb="FFD00000"/>
          <x14:colorLast rgb="FFD00000"/>
          <x14:colorHigh rgb="FFD00000"/>
          <x14:colorLow rgb="FFD00000"/>
          <x14:sparklines>
            <x14:sparkline>
              <xm:f>'Gill netters'!D3:N3</xm:f>
              <xm:sqref>C3</xm:sqref>
            </x14:sparkline>
            <x14:sparkline>
              <xm:f>'Gill netters'!D4:N4</xm:f>
              <xm:sqref>C4</xm:sqref>
            </x14:sparkline>
            <x14:sparkline>
              <xm:f>'Gill netters'!D5:N5</xm:f>
              <xm:sqref>C5</xm:sqref>
            </x14:sparkline>
            <x14:sparkline>
              <xm:f>'Gill netters'!D6:N6</xm:f>
              <xm:sqref>C6</xm:sqref>
            </x14:sparkline>
            <x14:sparkline>
              <xm:f>'Gill netters'!D7:N7</xm:f>
              <xm:sqref>C7</xm:sqref>
            </x14:sparkline>
            <x14:sparkline>
              <xm:f>'Gill netters'!D8:N8</xm:f>
              <xm:sqref>C8</xm:sqref>
            </x14:sparkline>
            <x14:sparkline>
              <xm:f>'Gill netters'!D9:N9</xm:f>
              <xm:sqref>C9</xm:sqref>
            </x14:sparkline>
            <x14:sparkline>
              <xm:f>'Gill netters'!D10:N10</xm:f>
              <xm:sqref>C10</xm:sqref>
            </x14:sparkline>
            <x14:sparkline>
              <xm:f>'Gill netters'!D11:N11</xm:f>
              <xm:sqref>C11</xm:sqref>
            </x14:sparkline>
            <x14:sparkline>
              <xm:f>'Gill netters'!D12:N12</xm:f>
              <xm:sqref>C12</xm:sqref>
            </x14:sparkline>
            <x14:sparkline>
              <xm:f>'Gill netters'!D13:N13</xm:f>
              <xm:sqref>C13</xm:sqref>
            </x14:sparkline>
            <x14:sparkline>
              <xm:f>'Gill netters'!D14:N14</xm:f>
              <xm:sqref>C14</xm:sqref>
            </x14:sparkline>
            <x14:sparkline>
              <xm:f>'Gill netters'!D15:N15</xm:f>
              <xm:sqref>C15</xm:sqref>
            </x14:sparkline>
            <x14:sparkline>
              <xm:f>'Gill netters'!D16:N16</xm:f>
              <xm:sqref>C16</xm:sqref>
            </x14:sparkline>
            <x14:sparkline>
              <xm:f>'Gill netters'!D17:N17</xm:f>
              <xm:sqref>C17</xm:sqref>
            </x14:sparkline>
            <x14:sparkline>
              <xm:f>'Gill netters'!D18:N18</xm:f>
              <xm:sqref>C18</xm:sqref>
            </x14:sparkline>
            <x14:sparkline>
              <xm:f>'Gill netters'!D19:N19</xm:f>
              <xm:sqref>C19</xm:sqref>
            </x14:sparkline>
            <x14:sparkline>
              <xm:f>'Gill netters'!D20:N20</xm:f>
              <xm:sqref>C20</xm:sqref>
            </x14:sparkline>
            <x14:sparkline>
              <xm:f>'Gill netters'!D21:N21</xm:f>
              <xm:sqref>C21</xm:sqref>
            </x14:sparkline>
            <x14:sparkline>
              <xm:f>'Gill netters'!D22:N22</xm:f>
              <xm:sqref>C22</xm:sqref>
            </x14:sparkline>
            <x14:sparkline>
              <xm:f>'Gill netters'!D23:N23</xm:f>
              <xm:sqref>C23</xm:sqref>
            </x14:sparkline>
            <x14:sparkline>
              <xm:f>'Gill netters'!D24:N24</xm:f>
              <xm:sqref>C24</xm:sqref>
            </x14:sparkline>
            <x14:sparkline>
              <xm:f>'Gill netters'!D25:N25</xm:f>
              <xm:sqref>C25</xm:sqref>
            </x14:sparkline>
            <x14:sparkline>
              <xm:f>'Gill netters'!D26:N26</xm:f>
              <xm:sqref>C26</xm:sqref>
            </x14:sparkline>
            <x14:sparkline>
              <xm:f>'Gill netters'!D27:N27</xm:f>
              <xm:sqref>C27</xm:sqref>
            </x14:sparkline>
            <x14:sparkline>
              <xm:f>'Gill netters'!D28:N28</xm:f>
              <xm:sqref>C28</xm:sqref>
            </x14:sparkline>
            <x14:sparkline>
              <xm:f>'Gill netters'!D29:N29</xm:f>
              <xm:sqref>C29</xm:sqref>
            </x14:sparkline>
            <x14:sparkline>
              <xm:f>'Gill netters'!D30:N30</xm:f>
              <xm:sqref>C30</xm:sqref>
            </x14:sparkline>
            <x14:sparkline>
              <xm:f>'Gill netters'!D31:N31</xm:f>
              <xm:sqref>C31</xm:sqref>
            </x14:sparkline>
            <x14:sparkline>
              <xm:f>'Gill netters'!D32:N32</xm:f>
              <xm:sqref>C32</xm:sqref>
            </x14:sparkline>
            <x14:sparkline>
              <xm:f>'Gill netters'!D33:N33</xm:f>
              <xm:sqref>C33</xm:sqref>
            </x14:sparkline>
            <x14:sparkline>
              <xm:f>'Gill netters'!D34:N34</xm:f>
              <xm:sqref>C34</xm:sqref>
            </x14:sparkline>
            <x14:sparkline>
              <xm:f>'Gill netters'!D35:N35</xm:f>
              <xm:sqref>C35</xm:sqref>
            </x14:sparkline>
            <x14:sparkline>
              <xm:f>'Gill netters'!D36:N36</xm:f>
              <xm:sqref>C36</xm:sqref>
            </x14:sparkline>
            <x14:sparkline>
              <xm:f>'Gill netters'!D37:N37</xm:f>
              <xm:sqref>C37</xm:sqref>
            </x14:sparkline>
            <x14:sparkline>
              <xm:f>'Gill netters'!D38:N38</xm:f>
              <xm:sqref>C38</xm:sqref>
            </x14:sparkline>
            <x14:sparkline>
              <xm:f>'Gill netters'!D39:N39</xm:f>
              <xm:sqref>C39</xm:sqref>
            </x14:sparkline>
            <x14:sparkline>
              <xm:f>'Gill netters'!D40:N40</xm:f>
              <xm:sqref>C40</xm:sqref>
            </x14:sparkline>
            <x14:sparkline>
              <xm:f>'Gill netters'!D41:N41</xm:f>
              <xm:sqref>C41</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213EB-47DE-4601-92E0-953AA8E8573A}">
  <sheetPr codeName="Feuil12">
    <pageSetUpPr fitToPage="1"/>
  </sheetPr>
  <dimension ref="A1:S192"/>
  <sheetViews>
    <sheetView zoomScale="70" zoomScaleNormal="70" zoomScalePageLayoutView="87" workbookViewId="0">
      <selection activeCell="O1" sqref="O1:P1"/>
    </sheetView>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16</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1759</v>
      </c>
      <c r="E3" s="27">
        <v>1670</v>
      </c>
      <c r="F3" s="27">
        <v>1675</v>
      </c>
      <c r="G3" s="27">
        <v>1750</v>
      </c>
      <c r="H3" s="27">
        <v>1773</v>
      </c>
      <c r="I3" s="27">
        <v>1723</v>
      </c>
      <c r="J3" s="27">
        <v>1667</v>
      </c>
      <c r="K3" s="27">
        <v>1549</v>
      </c>
      <c r="L3" s="27">
        <v>1521</v>
      </c>
      <c r="M3" s="27">
        <v>1453</v>
      </c>
      <c r="N3" s="27">
        <v>1660</v>
      </c>
      <c r="O3" s="28">
        <f t="shared" ref="O3:O41" si="0">IF(N3=0,"",IFERROR(IF(AND(N3&gt;0,D3&lt;0),"na",IF(AND(N3&lt;0,D3&lt;0),-1,1)*(N3-D3)/D3),""))</f>
        <v>-5.6281978396816375E-2</v>
      </c>
      <c r="P3" s="28">
        <f t="shared" ref="P3:P41" si="1">IF(N3=0,"",IFERROR(IF(AND(N3&gt;0,J3&lt;0),"na",IF(AND(N3&lt;0,J3&lt;0),-1,1)*(N3-J3)/J3),""))</f>
        <v>-4.1991601679664068E-3</v>
      </c>
      <c r="Q3" s="206"/>
    </row>
    <row r="4" spans="1:17" ht="18" customHeight="1">
      <c r="A4" s="172"/>
      <c r="B4" s="29" t="s">
        <v>184</v>
      </c>
      <c r="C4" s="30"/>
      <c r="D4" s="30">
        <v>105467.0625</v>
      </c>
      <c r="E4" s="30">
        <v>101362.7578125</v>
      </c>
      <c r="F4" s="30">
        <v>96854.59375</v>
      </c>
      <c r="G4" s="30">
        <v>105669.6171875</v>
      </c>
      <c r="H4" s="30">
        <v>101291.5390625</v>
      </c>
      <c r="I4" s="30">
        <v>102908.5625</v>
      </c>
      <c r="J4" s="30">
        <v>98527.3515625</v>
      </c>
      <c r="K4" s="30">
        <v>93942.046875</v>
      </c>
      <c r="L4" s="30">
        <v>93295.3203125</v>
      </c>
      <c r="M4" s="30">
        <v>84900.3515625</v>
      </c>
      <c r="N4" s="30">
        <v>101956.9765625</v>
      </c>
      <c r="O4" s="28">
        <f t="shared" si="0"/>
        <v>-3.3281347316371876E-2</v>
      </c>
      <c r="P4" s="28">
        <f t="shared" si="1"/>
        <v>3.4808862164781178E-2</v>
      </c>
      <c r="Q4" s="206"/>
    </row>
    <row r="5" spans="1:17" ht="18" customHeight="1">
      <c r="A5" s="172"/>
      <c r="B5" s="29" t="s">
        <v>185</v>
      </c>
      <c r="C5" s="30"/>
      <c r="D5" s="30">
        <v>12397.755859375</v>
      </c>
      <c r="E5" s="30">
        <v>14064.130859375</v>
      </c>
      <c r="F5" s="30">
        <v>11565.4609375</v>
      </c>
      <c r="G5" s="30">
        <v>14929.380859375</v>
      </c>
      <c r="H5" s="30">
        <v>13052.3505859375</v>
      </c>
      <c r="I5" s="30">
        <v>12893.98046875</v>
      </c>
      <c r="J5" s="30">
        <v>11841.8310546875</v>
      </c>
      <c r="K5" s="30">
        <v>12479.2705078125</v>
      </c>
      <c r="L5" s="30">
        <v>12866.2109375</v>
      </c>
      <c r="M5" s="30">
        <v>10446.2109375</v>
      </c>
      <c r="N5" s="30">
        <v>13157.130859375</v>
      </c>
      <c r="O5" s="28">
        <f t="shared" si="0"/>
        <v>6.125100450544619E-2</v>
      </c>
      <c r="P5" s="28">
        <f t="shared" si="1"/>
        <v>0.11107233320702109</v>
      </c>
      <c r="Q5" s="207"/>
    </row>
    <row r="6" spans="1:17" ht="18" customHeight="1">
      <c r="A6" s="172"/>
      <c r="B6" s="29" t="s">
        <v>186</v>
      </c>
      <c r="C6" s="30"/>
      <c r="D6" s="30">
        <v>88342.5234375</v>
      </c>
      <c r="E6" s="30">
        <v>85208.1640625</v>
      </c>
      <c r="F6" s="30">
        <v>81456.6875</v>
      </c>
      <c r="G6" s="30">
        <v>88186.0625</v>
      </c>
      <c r="H6" s="30">
        <v>84755</v>
      </c>
      <c r="I6" s="30">
        <v>85513</v>
      </c>
      <c r="J6" s="30">
        <v>82044</v>
      </c>
      <c r="K6" s="30">
        <v>78880</v>
      </c>
      <c r="L6" s="30">
        <v>78656.1953125</v>
      </c>
      <c r="M6" s="30">
        <v>71624.359375</v>
      </c>
      <c r="N6" s="30">
        <v>85391.484375</v>
      </c>
      <c r="O6" s="28">
        <f t="shared" si="0"/>
        <v>-3.3404514017394832E-2</v>
      </c>
      <c r="P6" s="28">
        <f t="shared" si="1"/>
        <v>4.0801086916776363E-2</v>
      </c>
      <c r="Q6" s="206"/>
    </row>
    <row r="7" spans="1:17" ht="18" customHeight="1">
      <c r="A7" s="172"/>
      <c r="B7" s="29" t="s">
        <v>187</v>
      </c>
      <c r="C7" s="30"/>
      <c r="D7" s="30"/>
      <c r="E7" s="30"/>
      <c r="F7" s="30"/>
      <c r="G7" s="30"/>
      <c r="H7" s="30"/>
      <c r="I7" s="30"/>
      <c r="J7" s="30"/>
      <c r="K7" s="30"/>
      <c r="L7" s="30"/>
      <c r="M7" s="30"/>
      <c r="N7" s="30"/>
      <c r="O7" s="28" t="str">
        <f t="shared" si="0"/>
        <v/>
      </c>
      <c r="P7" s="28" t="str">
        <f t="shared" si="1"/>
        <v/>
      </c>
      <c r="Q7" s="206"/>
    </row>
    <row r="8" spans="1:17" ht="18" customHeight="1">
      <c r="A8" s="172"/>
      <c r="B8" s="29" t="s">
        <v>188</v>
      </c>
      <c r="C8" s="31"/>
      <c r="D8" s="31"/>
      <c r="E8" s="31"/>
      <c r="F8" s="31"/>
      <c r="G8" s="31"/>
      <c r="H8" s="31"/>
      <c r="I8" s="31"/>
      <c r="J8" s="31"/>
      <c r="K8" s="31"/>
      <c r="L8" s="31"/>
      <c r="M8" s="31"/>
      <c r="N8" s="31"/>
      <c r="O8" s="28" t="str">
        <f t="shared" si="0"/>
        <v/>
      </c>
      <c r="P8" s="28" t="str">
        <f t="shared" si="1"/>
        <v/>
      </c>
      <c r="Q8" s="206"/>
    </row>
    <row r="9" spans="1:17" ht="18" customHeight="1">
      <c r="A9" s="172"/>
      <c r="B9" s="29" t="s">
        <v>189</v>
      </c>
      <c r="C9" s="30"/>
      <c r="D9" s="30"/>
      <c r="E9" s="30"/>
      <c r="F9" s="30"/>
      <c r="G9" s="30"/>
      <c r="H9" s="30"/>
      <c r="I9" s="30"/>
      <c r="J9" s="30"/>
      <c r="K9" s="30"/>
      <c r="L9" s="30"/>
      <c r="M9" s="30"/>
      <c r="N9" s="30"/>
      <c r="O9" s="28" t="str">
        <f t="shared" si="0"/>
        <v/>
      </c>
      <c r="P9" s="28" t="str">
        <f t="shared" si="1"/>
        <v/>
      </c>
      <c r="Q9" s="206"/>
    </row>
    <row r="10" spans="1:17" ht="18" customHeight="1">
      <c r="A10" s="172"/>
      <c r="B10" s="29" t="s">
        <v>190</v>
      </c>
      <c r="C10" s="30"/>
      <c r="D10" s="30"/>
      <c r="E10" s="30"/>
      <c r="F10" s="30"/>
      <c r="G10" s="30"/>
      <c r="H10" s="30"/>
      <c r="I10" s="30"/>
      <c r="J10" s="30"/>
      <c r="K10" s="30"/>
      <c r="L10" s="30"/>
      <c r="M10" s="30"/>
      <c r="N10" s="30"/>
      <c r="O10" s="32" t="str">
        <f t="shared" si="0"/>
        <v/>
      </c>
      <c r="P10" s="32" t="str">
        <f t="shared" si="1"/>
        <v/>
      </c>
      <c r="Q10" s="206"/>
    </row>
    <row r="11" spans="1:17" ht="18" customHeight="1">
      <c r="A11" s="173" t="s">
        <v>191</v>
      </c>
      <c r="B11" s="33" t="s">
        <v>192</v>
      </c>
      <c r="C11" s="34"/>
      <c r="D11" s="34">
        <v>7.3615522384643555</v>
      </c>
      <c r="E11" s="34">
        <v>7.3750300407409668</v>
      </c>
      <c r="F11" s="34">
        <v>7.2602028846740723</v>
      </c>
      <c r="G11" s="34">
        <v>7.2742171287536621</v>
      </c>
      <c r="H11" s="34">
        <v>7.1284995079040527</v>
      </c>
      <c r="I11" s="34">
        <v>7.2164654731750488</v>
      </c>
      <c r="J11" s="34">
        <v>7.2210979461669922</v>
      </c>
      <c r="K11" s="34">
        <v>7.3272500038146973</v>
      </c>
      <c r="L11" s="34">
        <v>7.400118350982666</v>
      </c>
      <c r="M11" s="34">
        <v>7.2532415390014648</v>
      </c>
      <c r="N11" s="34">
        <v>7.356849193572998</v>
      </c>
      <c r="O11" s="28">
        <f t="shared" si="0"/>
        <v>-6.3886592650716457E-4</v>
      </c>
      <c r="P11" s="28">
        <f t="shared" si="1"/>
        <v>1.8799253024682147E-2</v>
      </c>
      <c r="Q11" s="206"/>
    </row>
    <row r="12" spans="1:17" ht="18" customHeight="1">
      <c r="A12" s="174"/>
      <c r="B12" s="35" t="s">
        <v>184</v>
      </c>
      <c r="C12" s="30"/>
      <c r="D12" s="30">
        <v>60.129451751708984</v>
      </c>
      <c r="E12" s="30">
        <v>60.878536224365234</v>
      </c>
      <c r="F12" s="30">
        <v>57.962051391601563</v>
      </c>
      <c r="G12" s="30">
        <v>60.590377807617188</v>
      </c>
      <c r="H12" s="30">
        <v>57.259208679199219</v>
      </c>
      <c r="I12" s="30">
        <v>59.865364074707031</v>
      </c>
      <c r="J12" s="30">
        <v>59.175586700439453</v>
      </c>
      <c r="K12" s="30">
        <v>60.725307464599609</v>
      </c>
      <c r="L12" s="30">
        <v>61.499881744384766</v>
      </c>
      <c r="M12" s="30">
        <v>58.592372894287109</v>
      </c>
      <c r="N12" s="30">
        <v>61.53106689453125</v>
      </c>
      <c r="O12" s="28">
        <f t="shared" si="0"/>
        <v>2.3309960460140555E-2</v>
      </c>
      <c r="P12" s="28">
        <f t="shared" si="1"/>
        <v>3.9804931821221884E-2</v>
      </c>
      <c r="Q12" s="206"/>
    </row>
    <row r="13" spans="1:17" ht="18" customHeight="1">
      <c r="A13" s="174"/>
      <c r="B13" s="35" t="s">
        <v>185</v>
      </c>
      <c r="C13" s="30"/>
      <c r="D13" s="30">
        <v>7.0481839179992676</v>
      </c>
      <c r="E13" s="30">
        <v>8.4216346740722656</v>
      </c>
      <c r="F13" s="30">
        <v>6.9047527313232422</v>
      </c>
      <c r="G13" s="30">
        <v>8.5310745239257813</v>
      </c>
      <c r="H13" s="30">
        <v>7.361732006072998</v>
      </c>
      <c r="I13" s="30">
        <v>7.4834480285644531</v>
      </c>
      <c r="J13" s="30">
        <v>7.1036777496337891</v>
      </c>
      <c r="K13" s="30">
        <v>8.056340217590332</v>
      </c>
      <c r="L13" s="30">
        <v>8.4590473175048828</v>
      </c>
      <c r="M13" s="30">
        <v>7.1894087791442871</v>
      </c>
      <c r="N13" s="30">
        <v>7.9259824752807617</v>
      </c>
      <c r="O13" s="28">
        <f t="shared" si="0"/>
        <v>0.12454251584437519</v>
      </c>
      <c r="P13" s="28">
        <f t="shared" si="1"/>
        <v>0.11575760537411263</v>
      </c>
      <c r="Q13" s="206"/>
    </row>
    <row r="14" spans="1:17" ht="18" customHeight="1">
      <c r="A14" s="174"/>
      <c r="B14" s="35" t="s">
        <v>186</v>
      </c>
      <c r="C14" s="30"/>
      <c r="D14" s="30">
        <v>50.223148345947266</v>
      </c>
      <c r="E14" s="30">
        <v>51.022853851318359</v>
      </c>
      <c r="F14" s="30">
        <v>48.630855560302734</v>
      </c>
      <c r="G14" s="30">
        <v>50.392036437988281</v>
      </c>
      <c r="H14" s="30">
        <v>47.803157806396484</v>
      </c>
      <c r="I14" s="30">
        <v>49.630294799804688</v>
      </c>
      <c r="J14" s="30">
        <v>49.216556549072266</v>
      </c>
      <c r="K14" s="30">
        <v>50.923175811767578</v>
      </c>
      <c r="L14" s="30">
        <v>51.713474273681641</v>
      </c>
      <c r="M14" s="30">
        <v>49.294120788574219</v>
      </c>
      <c r="N14" s="30">
        <v>51.440650939941406</v>
      </c>
      <c r="O14" s="28">
        <f t="shared" si="0"/>
        <v>2.4241861255047872E-2</v>
      </c>
      <c r="P14" s="28">
        <f t="shared" si="1"/>
        <v>4.5189963435405454E-2</v>
      </c>
      <c r="Q14" s="206"/>
    </row>
    <row r="15" spans="1:17" ht="18" customHeight="1">
      <c r="A15" s="174"/>
      <c r="B15" s="35" t="s">
        <v>187</v>
      </c>
      <c r="C15" s="31"/>
      <c r="D15" s="31"/>
      <c r="E15" s="31"/>
      <c r="F15" s="31"/>
      <c r="G15" s="31"/>
      <c r="H15" s="31"/>
      <c r="I15" s="31"/>
      <c r="J15" s="31"/>
      <c r="K15" s="31"/>
      <c r="L15" s="31"/>
      <c r="M15" s="31"/>
      <c r="N15" s="31"/>
      <c r="O15" s="28" t="str">
        <f t="shared" si="0"/>
        <v/>
      </c>
      <c r="P15" s="28" t="str">
        <f t="shared" si="1"/>
        <v/>
      </c>
      <c r="Q15" s="206"/>
    </row>
    <row r="16" spans="1:17" ht="18" customHeight="1">
      <c r="A16" s="174"/>
      <c r="B16" s="35" t="s">
        <v>193</v>
      </c>
      <c r="C16" s="31"/>
      <c r="D16" s="31"/>
      <c r="E16" s="31"/>
      <c r="F16" s="31"/>
      <c r="G16" s="31"/>
      <c r="H16" s="31"/>
      <c r="I16" s="31"/>
      <c r="J16" s="31"/>
      <c r="K16" s="31"/>
      <c r="L16" s="31"/>
      <c r="M16" s="31"/>
      <c r="N16" s="31"/>
      <c r="O16" s="28" t="str">
        <f t="shared" si="0"/>
        <v/>
      </c>
      <c r="P16" s="28" t="str">
        <f t="shared" si="1"/>
        <v/>
      </c>
      <c r="Q16" s="206"/>
    </row>
    <row r="17" spans="1:16" ht="18" customHeight="1">
      <c r="A17" s="174"/>
      <c r="B17" s="35" t="s">
        <v>189</v>
      </c>
      <c r="C17" s="30"/>
      <c r="D17" s="30"/>
      <c r="E17" s="30"/>
      <c r="F17" s="30"/>
      <c r="G17" s="30"/>
      <c r="H17" s="30"/>
      <c r="I17" s="30"/>
      <c r="J17" s="30"/>
      <c r="K17" s="30"/>
      <c r="L17" s="30"/>
      <c r="M17" s="30"/>
      <c r="N17" s="30"/>
      <c r="O17" s="28" t="str">
        <f t="shared" si="0"/>
        <v/>
      </c>
      <c r="P17" s="28" t="str">
        <f t="shared" si="1"/>
        <v/>
      </c>
    </row>
    <row r="18" spans="1:16" ht="18" customHeight="1">
      <c r="A18" s="174"/>
      <c r="B18" s="35" t="s">
        <v>194</v>
      </c>
      <c r="C18" s="30"/>
      <c r="D18" s="30">
        <v>25.04661750793457</v>
      </c>
      <c r="E18" s="30">
        <v>25.758083343505859</v>
      </c>
      <c r="F18" s="30">
        <v>26.331342697143555</v>
      </c>
      <c r="G18" s="30">
        <v>26.883428573608398</v>
      </c>
      <c r="H18" s="30">
        <v>27.532430648803711</v>
      </c>
      <c r="I18" s="30">
        <v>28.362739562988281</v>
      </c>
      <c r="J18" s="30">
        <v>29.081583023071289</v>
      </c>
      <c r="K18" s="30">
        <v>29.730794906616211</v>
      </c>
      <c r="L18" s="30">
        <v>31.184089660644531</v>
      </c>
      <c r="M18" s="30">
        <v>31.205781936645508</v>
      </c>
      <c r="N18" s="30">
        <v>32.625904083251953</v>
      </c>
      <c r="O18" s="28">
        <f t="shared" si="0"/>
        <v>0.30260719128705998</v>
      </c>
      <c r="P18" s="28">
        <f t="shared" si="1"/>
        <v>0.12187510760225288</v>
      </c>
    </row>
    <row r="19" spans="1:16" ht="18" customHeight="1">
      <c r="A19" s="174"/>
      <c r="B19" s="35" t="s">
        <v>195</v>
      </c>
      <c r="C19" s="36"/>
      <c r="D19" s="36"/>
      <c r="E19" s="36"/>
      <c r="F19" s="36"/>
      <c r="G19" s="36"/>
      <c r="H19" s="36"/>
      <c r="I19" s="36"/>
      <c r="J19" s="36"/>
      <c r="K19" s="36"/>
      <c r="L19" s="36"/>
      <c r="M19" s="36"/>
      <c r="N19" s="36"/>
      <c r="O19" s="28" t="str">
        <f t="shared" si="0"/>
        <v/>
      </c>
      <c r="P19" s="28" t="str">
        <f t="shared" si="1"/>
        <v/>
      </c>
    </row>
    <row r="20" spans="1:16" ht="18" customHeight="1">
      <c r="A20" s="175"/>
      <c r="B20" s="37" t="s">
        <v>196</v>
      </c>
      <c r="C20" s="38"/>
      <c r="D20" s="38"/>
      <c r="E20" s="38"/>
      <c r="F20" s="38"/>
      <c r="G20" s="38"/>
      <c r="H20" s="38"/>
      <c r="I20" s="38"/>
      <c r="J20" s="38"/>
      <c r="K20" s="38"/>
      <c r="L20" s="38"/>
      <c r="M20" s="38"/>
      <c r="N20" s="38"/>
      <c r="O20" s="32" t="str">
        <f t="shared" si="0"/>
        <v/>
      </c>
      <c r="P20" s="32" t="str">
        <f t="shared" si="1"/>
        <v/>
      </c>
    </row>
    <row r="21" spans="1:16" ht="18" customHeight="1">
      <c r="A21" s="176" t="s">
        <v>197</v>
      </c>
      <c r="B21" s="33" t="s">
        <v>198</v>
      </c>
      <c r="C21" s="39"/>
      <c r="D21" s="39"/>
      <c r="E21" s="39"/>
      <c r="F21" s="39"/>
      <c r="G21" s="39"/>
      <c r="H21" s="39"/>
      <c r="I21" s="39"/>
      <c r="J21" s="39"/>
      <c r="K21" s="39"/>
      <c r="L21" s="39"/>
      <c r="M21" s="39"/>
      <c r="N21" s="39"/>
      <c r="O21" s="28" t="str">
        <f t="shared" si="0"/>
        <v/>
      </c>
      <c r="P21" s="28" t="str">
        <f t="shared" si="1"/>
        <v/>
      </c>
    </row>
    <row r="22" spans="1:16" ht="18" customHeight="1">
      <c r="A22" s="176"/>
      <c r="B22" s="35" t="s">
        <v>199</v>
      </c>
      <c r="C22" s="36"/>
      <c r="D22" s="36"/>
      <c r="E22" s="36"/>
      <c r="F22" s="36"/>
      <c r="G22" s="36"/>
      <c r="H22" s="36"/>
      <c r="I22" s="36"/>
      <c r="J22" s="36"/>
      <c r="K22" s="36"/>
      <c r="L22" s="36"/>
      <c r="M22" s="36"/>
      <c r="N22" s="36"/>
      <c r="O22" s="28" t="str">
        <f t="shared" si="0"/>
        <v/>
      </c>
      <c r="P22" s="28" t="str">
        <f t="shared" si="1"/>
        <v/>
      </c>
    </row>
    <row r="23" spans="1:16" ht="18" customHeight="1">
      <c r="A23" s="176"/>
      <c r="B23" s="35" t="s">
        <v>154</v>
      </c>
      <c r="C23" s="36"/>
      <c r="D23" s="36"/>
      <c r="E23" s="36"/>
      <c r="F23" s="36"/>
      <c r="G23" s="36"/>
      <c r="H23" s="36"/>
      <c r="I23" s="36"/>
      <c r="J23" s="36"/>
      <c r="K23" s="36"/>
      <c r="L23" s="36"/>
      <c r="M23" s="36"/>
      <c r="N23" s="36"/>
      <c r="O23" s="28" t="str">
        <f t="shared" si="0"/>
        <v/>
      </c>
      <c r="P23" s="28" t="str">
        <f t="shared" si="1"/>
        <v/>
      </c>
    </row>
    <row r="24" spans="1:16" ht="18" customHeight="1">
      <c r="A24" s="176"/>
      <c r="B24" s="35" t="s">
        <v>155</v>
      </c>
      <c r="C24" s="36"/>
      <c r="D24" s="36"/>
      <c r="E24" s="36"/>
      <c r="F24" s="36"/>
      <c r="G24" s="36"/>
      <c r="H24" s="36"/>
      <c r="I24" s="36"/>
      <c r="J24" s="36"/>
      <c r="K24" s="36"/>
      <c r="L24" s="36"/>
      <c r="M24" s="36"/>
      <c r="N24" s="36"/>
      <c r="O24" s="28" t="str">
        <f t="shared" si="0"/>
        <v/>
      </c>
      <c r="P24" s="28" t="str">
        <f t="shared" si="1"/>
        <v/>
      </c>
    </row>
    <row r="25" spans="1:16" ht="18" customHeight="1">
      <c r="A25" s="176"/>
      <c r="B25" s="35" t="s">
        <v>200</v>
      </c>
      <c r="C25" s="31"/>
      <c r="D25" s="31"/>
      <c r="E25" s="31"/>
      <c r="F25" s="31"/>
      <c r="G25" s="31"/>
      <c r="H25" s="31"/>
      <c r="I25" s="31"/>
      <c r="J25" s="31"/>
      <c r="K25" s="31"/>
      <c r="L25" s="31"/>
      <c r="M25" s="31"/>
      <c r="N25" s="31"/>
      <c r="O25" s="28" t="str">
        <f t="shared" si="0"/>
        <v/>
      </c>
      <c r="P25" s="28" t="str">
        <f t="shared" si="1"/>
        <v/>
      </c>
    </row>
    <row r="26" spans="1:16" ht="18" customHeight="1">
      <c r="A26" s="177"/>
      <c r="B26" s="35" t="s">
        <v>201</v>
      </c>
      <c r="C26" s="31"/>
      <c r="D26" s="31"/>
      <c r="E26" s="31"/>
      <c r="F26" s="31"/>
      <c r="G26" s="31"/>
      <c r="H26" s="31"/>
      <c r="I26" s="31"/>
      <c r="J26" s="31"/>
      <c r="K26" s="31"/>
      <c r="L26" s="31"/>
      <c r="M26" s="31"/>
      <c r="N26" s="31"/>
      <c r="O26" s="32" t="str">
        <f t="shared" si="0"/>
        <v/>
      </c>
      <c r="P26" s="32" t="str">
        <f t="shared" si="1"/>
        <v/>
      </c>
    </row>
    <row r="27" spans="1:16" ht="18" customHeight="1">
      <c r="A27" s="166" t="s">
        <v>202</v>
      </c>
      <c r="B27" s="33" t="s">
        <v>193</v>
      </c>
      <c r="C27" s="34"/>
      <c r="D27" s="34"/>
      <c r="E27" s="34"/>
      <c r="F27" s="34"/>
      <c r="G27" s="34"/>
      <c r="H27" s="34"/>
      <c r="I27" s="34"/>
      <c r="J27" s="34"/>
      <c r="K27" s="34"/>
      <c r="L27" s="34"/>
      <c r="M27" s="34"/>
      <c r="N27" s="34"/>
      <c r="O27" s="28" t="str">
        <f t="shared" si="0"/>
        <v/>
      </c>
      <c r="P27" s="28" t="str">
        <f t="shared" si="1"/>
        <v/>
      </c>
    </row>
    <row r="28" spans="1:16" ht="18" customHeight="1">
      <c r="A28" s="178"/>
      <c r="B28" s="35" t="s">
        <v>203</v>
      </c>
      <c r="C28" s="31"/>
      <c r="D28" s="31"/>
      <c r="E28" s="31"/>
      <c r="F28" s="31"/>
      <c r="G28" s="31"/>
      <c r="H28" s="31"/>
      <c r="I28" s="31"/>
      <c r="J28" s="31"/>
      <c r="K28" s="31"/>
      <c r="L28" s="31"/>
      <c r="M28" s="31"/>
      <c r="N28" s="31"/>
      <c r="O28" s="28" t="str">
        <f t="shared" si="0"/>
        <v/>
      </c>
      <c r="P28" s="28" t="str">
        <f t="shared" si="1"/>
        <v/>
      </c>
    </row>
    <row r="29" spans="1:16" ht="18" customHeight="1">
      <c r="A29" s="178"/>
      <c r="B29" s="40" t="s">
        <v>204</v>
      </c>
      <c r="C29" s="41"/>
      <c r="D29" s="41"/>
      <c r="E29" s="41"/>
      <c r="F29" s="41"/>
      <c r="G29" s="41"/>
      <c r="H29" s="41"/>
      <c r="I29" s="41"/>
      <c r="J29" s="41"/>
      <c r="K29" s="41"/>
      <c r="L29" s="41"/>
      <c r="M29" s="41"/>
      <c r="N29" s="41"/>
      <c r="O29" s="28" t="str">
        <f t="shared" si="0"/>
        <v/>
      </c>
      <c r="P29" s="28" t="str">
        <f t="shared" si="1"/>
        <v/>
      </c>
    </row>
    <row r="30" spans="1:16" ht="18" customHeight="1">
      <c r="A30" s="178"/>
      <c r="B30" s="35" t="s">
        <v>205</v>
      </c>
      <c r="C30" s="31"/>
      <c r="D30" s="31"/>
      <c r="E30" s="31"/>
      <c r="F30" s="31"/>
      <c r="G30" s="31"/>
      <c r="H30" s="31"/>
      <c r="I30" s="31"/>
      <c r="J30" s="31"/>
      <c r="K30" s="31"/>
      <c r="L30" s="31"/>
      <c r="M30" s="31"/>
      <c r="N30" s="31"/>
      <c r="O30" s="28" t="str">
        <f t="shared" si="0"/>
        <v/>
      </c>
      <c r="P30" s="28" t="str">
        <f t="shared" si="1"/>
        <v/>
      </c>
    </row>
    <row r="31" spans="1:16" ht="18" customHeight="1">
      <c r="A31" s="178"/>
      <c r="B31" s="35" t="s">
        <v>206</v>
      </c>
      <c r="C31" s="31"/>
      <c r="D31" s="31"/>
      <c r="E31" s="31"/>
      <c r="F31" s="31"/>
      <c r="G31" s="31"/>
      <c r="H31" s="31"/>
      <c r="I31" s="31"/>
      <c r="J31" s="31"/>
      <c r="K31" s="31"/>
      <c r="L31" s="31"/>
      <c r="M31" s="31"/>
      <c r="N31" s="31"/>
      <c r="O31" s="28" t="str">
        <f t="shared" si="0"/>
        <v/>
      </c>
      <c r="P31" s="28" t="str">
        <f t="shared" si="1"/>
        <v/>
      </c>
    </row>
    <row r="32" spans="1:16" ht="18" customHeight="1">
      <c r="A32" s="178"/>
      <c r="B32" s="35" t="s">
        <v>207</v>
      </c>
      <c r="C32" s="31"/>
      <c r="D32" s="31"/>
      <c r="E32" s="31"/>
      <c r="F32" s="31"/>
      <c r="G32" s="31"/>
      <c r="H32" s="31"/>
      <c r="I32" s="31"/>
      <c r="J32" s="31"/>
      <c r="K32" s="31"/>
      <c r="L32" s="31"/>
      <c r="M32" s="31"/>
      <c r="N32" s="31"/>
      <c r="O32" s="28" t="str">
        <f t="shared" si="0"/>
        <v/>
      </c>
      <c r="P32" s="28" t="str">
        <f t="shared" si="1"/>
        <v/>
      </c>
    </row>
    <row r="33" spans="1:16" ht="18" customHeight="1">
      <c r="A33" s="178"/>
      <c r="B33" s="35" t="s">
        <v>208</v>
      </c>
      <c r="C33" s="31"/>
      <c r="D33" s="31"/>
      <c r="E33" s="31"/>
      <c r="F33" s="31"/>
      <c r="G33" s="31"/>
      <c r="H33" s="31"/>
      <c r="I33" s="31"/>
      <c r="J33" s="31"/>
      <c r="K33" s="31"/>
      <c r="L33" s="31"/>
      <c r="M33" s="31"/>
      <c r="N33" s="31"/>
      <c r="O33" s="28" t="str">
        <f t="shared" si="0"/>
        <v/>
      </c>
      <c r="P33" s="28" t="str">
        <f t="shared" si="1"/>
        <v/>
      </c>
    </row>
    <row r="34" spans="1:16" ht="18" customHeight="1">
      <c r="A34" s="178"/>
      <c r="B34" s="35" t="s">
        <v>209</v>
      </c>
      <c r="C34" s="31"/>
      <c r="D34" s="31"/>
      <c r="E34" s="31"/>
      <c r="F34" s="31"/>
      <c r="G34" s="31"/>
      <c r="H34" s="31"/>
      <c r="I34" s="31"/>
      <c r="J34" s="31"/>
      <c r="K34" s="31"/>
      <c r="L34" s="31"/>
      <c r="M34" s="31"/>
      <c r="N34" s="31"/>
      <c r="O34" s="28" t="str">
        <f t="shared" si="0"/>
        <v/>
      </c>
      <c r="P34" s="28" t="str">
        <f t="shared" si="1"/>
        <v/>
      </c>
    </row>
    <row r="35" spans="1:16" ht="18" customHeight="1">
      <c r="A35" s="178"/>
      <c r="B35" s="35" t="s">
        <v>210</v>
      </c>
      <c r="C35" s="31"/>
      <c r="D35" s="31"/>
      <c r="E35" s="31"/>
      <c r="F35" s="31"/>
      <c r="G35" s="31"/>
      <c r="H35" s="31"/>
      <c r="I35" s="31"/>
      <c r="J35" s="31"/>
      <c r="K35" s="31"/>
      <c r="L35" s="31"/>
      <c r="M35" s="31"/>
      <c r="N35" s="31"/>
      <c r="O35" s="28" t="str">
        <f t="shared" si="0"/>
        <v/>
      </c>
      <c r="P35" s="28" t="str">
        <f t="shared" si="1"/>
        <v/>
      </c>
    </row>
    <row r="36" spans="1:16" ht="18" customHeight="1">
      <c r="A36" s="178"/>
      <c r="B36" s="40" t="s">
        <v>211</v>
      </c>
      <c r="C36" s="41"/>
      <c r="D36" s="41"/>
      <c r="E36" s="41"/>
      <c r="F36" s="41"/>
      <c r="G36" s="41"/>
      <c r="H36" s="41"/>
      <c r="I36" s="41"/>
      <c r="J36" s="41"/>
      <c r="K36" s="41"/>
      <c r="L36" s="41"/>
      <c r="M36" s="41"/>
      <c r="N36" s="41"/>
      <c r="O36" s="28" t="str">
        <f t="shared" si="0"/>
        <v/>
      </c>
      <c r="P36" s="28" t="str">
        <f t="shared" si="1"/>
        <v/>
      </c>
    </row>
    <row r="37" spans="1:16" ht="18" customHeight="1">
      <c r="A37" s="178"/>
      <c r="B37" s="40" t="s">
        <v>212</v>
      </c>
      <c r="C37" s="41"/>
      <c r="D37" s="41"/>
      <c r="E37" s="41"/>
      <c r="F37" s="41"/>
      <c r="G37" s="41"/>
      <c r="H37" s="41"/>
      <c r="I37" s="41"/>
      <c r="J37" s="41"/>
      <c r="K37" s="41"/>
      <c r="L37" s="41"/>
      <c r="M37" s="41"/>
      <c r="N37" s="41"/>
      <c r="O37" s="28" t="str">
        <f t="shared" si="0"/>
        <v/>
      </c>
      <c r="P37" s="28" t="str">
        <f t="shared" si="1"/>
        <v/>
      </c>
    </row>
    <row r="38" spans="1:16" ht="18" customHeight="1">
      <c r="A38" s="178"/>
      <c r="B38" s="35" t="s">
        <v>213</v>
      </c>
      <c r="C38" s="31"/>
      <c r="D38" s="31"/>
      <c r="E38" s="31"/>
      <c r="F38" s="31"/>
      <c r="G38" s="31"/>
      <c r="H38" s="31"/>
      <c r="I38" s="31"/>
      <c r="J38" s="31"/>
      <c r="K38" s="31"/>
      <c r="L38" s="31"/>
      <c r="M38" s="31"/>
      <c r="N38" s="31"/>
      <c r="O38" s="28" t="str">
        <f t="shared" si="0"/>
        <v/>
      </c>
      <c r="P38" s="28" t="str">
        <f t="shared" si="1"/>
        <v/>
      </c>
    </row>
    <row r="39" spans="1:16" ht="18" customHeight="1">
      <c r="A39" s="178"/>
      <c r="B39" s="35" t="s">
        <v>214</v>
      </c>
      <c r="C39" s="31"/>
      <c r="D39" s="31"/>
      <c r="E39" s="31"/>
      <c r="F39" s="31"/>
      <c r="G39" s="31"/>
      <c r="H39" s="31"/>
      <c r="I39" s="31"/>
      <c r="J39" s="31"/>
      <c r="K39" s="31"/>
      <c r="L39" s="31"/>
      <c r="M39" s="31"/>
      <c r="N39" s="31"/>
      <c r="O39" s="28" t="str">
        <f t="shared" si="0"/>
        <v/>
      </c>
      <c r="P39" s="28" t="str">
        <f t="shared" si="1"/>
        <v/>
      </c>
    </row>
    <row r="40" spans="1:16" ht="18" customHeight="1">
      <c r="A40" s="178"/>
      <c r="B40" s="35" t="s">
        <v>215</v>
      </c>
      <c r="C40" s="31"/>
      <c r="D40" s="31"/>
      <c r="E40" s="31"/>
      <c r="F40" s="31"/>
      <c r="G40" s="31"/>
      <c r="H40" s="31"/>
      <c r="I40" s="31"/>
      <c r="J40" s="31"/>
      <c r="K40" s="31"/>
      <c r="L40" s="31"/>
      <c r="M40" s="31"/>
      <c r="N40" s="31"/>
      <c r="O40" s="28" t="str">
        <f t="shared" si="0"/>
        <v/>
      </c>
      <c r="P40" s="28" t="str">
        <f t="shared" si="1"/>
        <v/>
      </c>
    </row>
    <row r="41" spans="1:16" ht="18" customHeight="1" thickBot="1">
      <c r="A41" s="179"/>
      <c r="B41" s="42" t="s">
        <v>216</v>
      </c>
      <c r="C41" s="43"/>
      <c r="D41" s="43"/>
      <c r="E41" s="43"/>
      <c r="F41" s="43"/>
      <c r="G41" s="43"/>
      <c r="H41" s="43"/>
      <c r="I41" s="43"/>
      <c r="J41" s="43"/>
      <c r="K41" s="43"/>
      <c r="L41" s="43"/>
      <c r="M41" s="43"/>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164</v>
      </c>
      <c r="F46" s="90" t="s">
        <v>164</v>
      </c>
      <c r="G46" s="90" t="s">
        <v>164</v>
      </c>
      <c r="H46" s="90" t="s">
        <v>164</v>
      </c>
      <c r="I46" s="86"/>
      <c r="J46" s="86"/>
      <c r="K46" s="86"/>
      <c r="L46" s="86"/>
      <c r="M46" s="86"/>
      <c r="N46" s="87"/>
      <c r="O46" s="87"/>
      <c r="P46" s="87"/>
    </row>
    <row r="47" spans="1:16" s="82" customFormat="1" ht="52.5" customHeight="1">
      <c r="A47" s="91" t="s">
        <v>227</v>
      </c>
    </row>
    <row r="48" spans="1:16" s="80" customFormat="1">
      <c r="A48" s="92" t="str">
        <f>$B21&amp;CHAR(10)&amp;$A$1</f>
        <v>Landings per kW day at sea (kg)
Inactive</v>
      </c>
      <c r="B48" s="202"/>
      <c r="C48" s="92"/>
      <c r="D48" s="92"/>
      <c r="E48" s="92"/>
      <c r="F48" s="92"/>
      <c r="G48" s="92"/>
      <c r="H48" s="202"/>
      <c r="I48" s="202"/>
      <c r="J48" s="202"/>
      <c r="K48" s="92" t="str">
        <f>$B24&amp;CHAR(10)&amp;$A$1</f>
        <v>Operating profit per kW day at sea (£)
Inactive</v>
      </c>
      <c r="L48" s="202"/>
      <c r="M48" s="202"/>
      <c r="N48" s="202"/>
      <c r="O48" s="202"/>
      <c r="P48" s="202"/>
    </row>
    <row r="49" spans="1:11" s="80" customFormat="1">
      <c r="A49" s="92" t="str">
        <f>$B22&amp;CHAR(10)&amp;$A$1</f>
        <v>Fishing income per kW day at sea (£)
Inactive</v>
      </c>
      <c r="B49" s="202"/>
      <c r="C49" s="202"/>
      <c r="D49" s="202"/>
      <c r="E49" s="202"/>
      <c r="F49" s="202"/>
      <c r="G49" s="202"/>
      <c r="H49" s="202"/>
      <c r="I49" s="202"/>
      <c r="J49" s="202"/>
      <c r="K49" s="202"/>
    </row>
    <row r="50" spans="1:11" s="80" customFormat="1">
      <c r="A50" s="92" t="str">
        <f>$B20&amp;CHAR(10)&amp;$A$1</f>
        <v>Average price per tonne landed (£)
Inactive</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Inactive</v>
      </c>
      <c r="C62" s="202"/>
      <c r="D62" s="202"/>
      <c r="E62" s="202"/>
      <c r="F62" s="92" t="str">
        <f>$B20&amp;CHAR(10)&amp;$A$1</f>
        <v>Average price per tonne landed (£)
Inactive</v>
      </c>
      <c r="G62" s="202"/>
      <c r="H62" s="202"/>
      <c r="I62" s="202"/>
      <c r="J62" s="202"/>
      <c r="K62" s="92" t="str">
        <f>"Average annual operating profit per vessel (£'000)"&amp;CHAR(10)&amp;$A$1</f>
        <v>Average annual operating profit per vessel (£'000)
Inactive</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Inactive</v>
      </c>
      <c r="F76" s="92" t="str">
        <f>"Top 5 landed species by value in "&amp;A77&amp;CHAR(10)&amp;A1</f>
        <v>Top 5 landed species by value in 2019
Inactive</v>
      </c>
    </row>
    <row r="77" spans="1:11" s="92" customFormat="1">
      <c r="A77" s="92">
        <v>2019</v>
      </c>
      <c r="B77" s="92" t="s">
        <v>347</v>
      </c>
      <c r="C77" s="93"/>
      <c r="D77" s="94" t="e">
        <v>#N/A</v>
      </c>
      <c r="G77" s="92" t="s">
        <v>347</v>
      </c>
      <c r="H77" s="93"/>
      <c r="I77" s="94" t="e">
        <v>#N/A</v>
      </c>
      <c r="K77" s="92" t="s">
        <v>230</v>
      </c>
    </row>
    <row r="78" spans="1:11" s="92" customFormat="1">
      <c r="B78" s="92" t="s">
        <v>347</v>
      </c>
      <c r="C78" s="93"/>
      <c r="D78" s="94" t="e">
        <v>#N/A</v>
      </c>
      <c r="G78" s="92" t="s">
        <v>347</v>
      </c>
      <c r="H78" s="93"/>
      <c r="I78" s="94" t="e">
        <v>#N/A</v>
      </c>
    </row>
    <row r="79" spans="1:11" s="92" customFormat="1">
      <c r="B79" s="92" t="s">
        <v>347</v>
      </c>
      <c r="C79" s="93"/>
      <c r="D79" s="94" t="e">
        <v>#N/A</v>
      </c>
      <c r="G79" s="92" t="s">
        <v>347</v>
      </c>
      <c r="H79" s="93"/>
      <c r="I79" s="94" t="e">
        <v>#N/A</v>
      </c>
    </row>
    <row r="80" spans="1:11" s="92" customFormat="1">
      <c r="B80" s="92" t="s">
        <v>347</v>
      </c>
      <c r="C80" s="93"/>
      <c r="D80" s="94" t="e">
        <v>#N/A</v>
      </c>
      <c r="G80" s="92" t="s">
        <v>347</v>
      </c>
      <c r="H80" s="93"/>
      <c r="I80" s="94" t="e">
        <v>#N/A</v>
      </c>
    </row>
    <row r="81" spans="1:19" s="92" customFormat="1">
      <c r="B81" s="92" t="s">
        <v>347</v>
      </c>
      <c r="C81" s="93"/>
      <c r="D81" s="94" t="e">
        <v>#N/A</v>
      </c>
      <c r="G81" s="92" t="s">
        <v>347</v>
      </c>
      <c r="H81" s="93"/>
      <c r="I81" s="94" t="e">
        <v>#N/A</v>
      </c>
    </row>
    <row r="82" spans="1:19" s="92" customFormat="1">
      <c r="B82" s="92" t="s">
        <v>348</v>
      </c>
      <c r="C82" s="93">
        <v>1</v>
      </c>
      <c r="D82" s="94">
        <v>5920853</v>
      </c>
      <c r="G82" s="92" t="s">
        <v>348</v>
      </c>
      <c r="H82" s="93">
        <v>1</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D92" s="98">
        <v>0</v>
      </c>
      <c r="E92" s="98">
        <v>0</v>
      </c>
      <c r="F92" s="98"/>
      <c r="G92" s="98">
        <v>0</v>
      </c>
      <c r="H92" s="98">
        <v>0</v>
      </c>
      <c r="I92" s="98">
        <v>0</v>
      </c>
      <c r="J92" s="98">
        <v>0</v>
      </c>
      <c r="K92" s="98">
        <v>0</v>
      </c>
      <c r="L92" s="98">
        <v>0</v>
      </c>
      <c r="M92" s="98">
        <v>0</v>
      </c>
      <c r="O92" s="92">
        <v>12153634</v>
      </c>
    </row>
    <row r="93" spans="1:19" s="92" customFormat="1" hidden="1">
      <c r="B93" s="92">
        <v>2</v>
      </c>
      <c r="D93" s="98">
        <v>0</v>
      </c>
      <c r="E93" s="98">
        <v>0</v>
      </c>
      <c r="F93" s="98"/>
      <c r="G93" s="98">
        <v>0</v>
      </c>
      <c r="H93" s="98">
        <v>0</v>
      </c>
      <c r="I93" s="98">
        <v>0</v>
      </c>
      <c r="J93" s="98">
        <v>0</v>
      </c>
      <c r="K93" s="98">
        <v>0</v>
      </c>
      <c r="L93" s="98">
        <v>0</v>
      </c>
      <c r="M93" s="98">
        <v>0</v>
      </c>
      <c r="O93" s="92">
        <v>553960</v>
      </c>
    </row>
    <row r="94" spans="1:19" s="92" customFormat="1" hidden="1">
      <c r="B94" s="92">
        <v>3</v>
      </c>
      <c r="D94" s="98">
        <v>0</v>
      </c>
      <c r="E94" s="98">
        <v>0</v>
      </c>
      <c r="F94" s="98"/>
      <c r="G94" s="98">
        <v>0</v>
      </c>
      <c r="H94" s="98">
        <v>0</v>
      </c>
      <c r="I94" s="98">
        <v>0</v>
      </c>
      <c r="J94" s="98">
        <v>0</v>
      </c>
      <c r="K94" s="98">
        <v>0</v>
      </c>
      <c r="L94" s="98">
        <v>0</v>
      </c>
      <c r="M94" s="98">
        <v>0</v>
      </c>
      <c r="O94" s="92">
        <v>3050596</v>
      </c>
    </row>
    <row r="95" spans="1:19" s="92" customFormat="1" hidden="1">
      <c r="B95" s="92">
        <v>4</v>
      </c>
      <c r="D95" s="98">
        <v>0</v>
      </c>
      <c r="E95" s="98">
        <v>0</v>
      </c>
      <c r="F95" s="98"/>
      <c r="G95" s="98">
        <v>0</v>
      </c>
      <c r="H95" s="98">
        <v>0</v>
      </c>
      <c r="I95" s="98">
        <v>0</v>
      </c>
      <c r="J95" s="98">
        <v>0</v>
      </c>
      <c r="K95" s="98">
        <v>0</v>
      </c>
      <c r="L95" s="98">
        <v>0</v>
      </c>
      <c r="M95" s="98">
        <v>0</v>
      </c>
      <c r="O95" s="92">
        <v>1692097</v>
      </c>
    </row>
    <row r="96" spans="1:19" s="92" customFormat="1" hidden="1">
      <c r="B96" s="92">
        <v>5</v>
      </c>
      <c r="D96" s="98">
        <v>0</v>
      </c>
      <c r="E96" s="98">
        <v>0</v>
      </c>
      <c r="F96" s="98"/>
      <c r="G96" s="98">
        <v>0</v>
      </c>
      <c r="H96" s="98">
        <v>0</v>
      </c>
      <c r="I96" s="98">
        <v>0</v>
      </c>
      <c r="J96" s="98">
        <v>0</v>
      </c>
      <c r="K96" s="98">
        <v>0</v>
      </c>
      <c r="L96" s="98">
        <v>0</v>
      </c>
      <c r="M96" s="98">
        <v>0</v>
      </c>
      <c r="O96" s="92">
        <v>3689192</v>
      </c>
    </row>
    <row r="97" spans="1:15" s="92" customFormat="1" hidden="1">
      <c r="B97" s="92">
        <v>6</v>
      </c>
      <c r="D97" s="98">
        <v>0</v>
      </c>
      <c r="E97" s="98">
        <v>0</v>
      </c>
      <c r="F97" s="98"/>
      <c r="G97" s="98">
        <v>0</v>
      </c>
      <c r="H97" s="98">
        <v>0</v>
      </c>
      <c r="I97" s="98">
        <v>0</v>
      </c>
      <c r="J97" s="98">
        <v>0</v>
      </c>
      <c r="K97" s="98">
        <v>0</v>
      </c>
      <c r="L97" s="98">
        <v>0</v>
      </c>
      <c r="M97" s="98">
        <v>0</v>
      </c>
      <c r="O97" s="92">
        <v>11115023</v>
      </c>
    </row>
    <row r="98" spans="1:15" s="92" customFormat="1" hidden="1">
      <c r="B98" s="92">
        <v>7</v>
      </c>
      <c r="D98" s="98">
        <v>0</v>
      </c>
      <c r="E98" s="98">
        <v>0</v>
      </c>
      <c r="F98" s="98"/>
      <c r="G98" s="98">
        <v>0</v>
      </c>
      <c r="H98" s="98">
        <v>0</v>
      </c>
      <c r="I98" s="98">
        <v>0</v>
      </c>
      <c r="J98" s="98">
        <v>0</v>
      </c>
      <c r="K98" s="98">
        <v>0</v>
      </c>
      <c r="L98" s="98">
        <v>0</v>
      </c>
      <c r="M98" s="98">
        <v>0</v>
      </c>
      <c r="O98" s="92">
        <v>2480382</v>
      </c>
    </row>
    <row r="99" spans="1:15" s="92" customFormat="1" hidden="1">
      <c r="B99" s="92">
        <v>8</v>
      </c>
      <c r="D99" s="98">
        <v>0</v>
      </c>
      <c r="E99" s="98">
        <v>0</v>
      </c>
      <c r="F99" s="98"/>
      <c r="G99" s="98">
        <v>0</v>
      </c>
      <c r="H99" s="98">
        <v>0</v>
      </c>
      <c r="I99" s="98">
        <v>0</v>
      </c>
      <c r="J99" s="98">
        <v>0</v>
      </c>
      <c r="K99" s="98">
        <v>0</v>
      </c>
      <c r="L99" s="98">
        <v>0</v>
      </c>
      <c r="M99" s="98">
        <v>0</v>
      </c>
      <c r="O99" s="92">
        <v>7434864</v>
      </c>
    </row>
    <row r="100" spans="1:15" s="92" customFormat="1" hidden="1">
      <c r="B100" s="92">
        <v>9</v>
      </c>
      <c r="D100" s="98">
        <v>0</v>
      </c>
      <c r="E100" s="98">
        <v>0</v>
      </c>
      <c r="F100" s="98"/>
      <c r="G100" s="98">
        <v>0</v>
      </c>
      <c r="H100" s="98">
        <v>0</v>
      </c>
      <c r="I100" s="98">
        <v>0</v>
      </c>
      <c r="J100" s="98">
        <v>0</v>
      </c>
      <c r="K100" s="98">
        <v>0</v>
      </c>
      <c r="L100" s="98">
        <v>0</v>
      </c>
      <c r="M100" s="98">
        <v>0</v>
      </c>
      <c r="O100" s="92">
        <v>8497745</v>
      </c>
    </row>
    <row r="101" spans="1:15" s="92" customFormat="1" hidden="1">
      <c r="B101" s="92">
        <v>10</v>
      </c>
      <c r="D101" s="98">
        <v>0</v>
      </c>
      <c r="E101" s="98">
        <v>0</v>
      </c>
      <c r="F101" s="98"/>
      <c r="G101" s="98">
        <v>0</v>
      </c>
      <c r="H101" s="98">
        <v>0</v>
      </c>
      <c r="I101" s="98">
        <v>0</v>
      </c>
      <c r="J101" s="98">
        <v>0</v>
      </c>
      <c r="K101" s="98">
        <v>0</v>
      </c>
      <c r="L101" s="98">
        <v>0</v>
      </c>
      <c r="M101" s="98">
        <v>0</v>
      </c>
      <c r="O101" s="92">
        <v>14393110</v>
      </c>
    </row>
    <row r="102" spans="1:15" s="92" customFormat="1" hidden="1">
      <c r="B102" s="92">
        <v>11</v>
      </c>
      <c r="D102" s="98">
        <v>0</v>
      </c>
      <c r="E102" s="98">
        <v>0</v>
      </c>
      <c r="F102" s="98"/>
      <c r="G102" s="98">
        <v>0</v>
      </c>
      <c r="H102" s="98">
        <v>0</v>
      </c>
      <c r="I102" s="98">
        <v>0</v>
      </c>
      <c r="J102" s="98">
        <v>0</v>
      </c>
      <c r="K102" s="98">
        <v>0</v>
      </c>
      <c r="L102" s="98">
        <v>0</v>
      </c>
      <c r="M102" s="98">
        <v>0</v>
      </c>
      <c r="O102" s="92">
        <v>2887140</v>
      </c>
    </row>
    <row r="103" spans="1:15" s="92" customFormat="1" hidden="1">
      <c r="B103" s="92">
        <v>12</v>
      </c>
      <c r="D103" s="98">
        <v>0</v>
      </c>
      <c r="E103" s="98">
        <v>0</v>
      </c>
      <c r="F103" s="98"/>
      <c r="G103" s="98">
        <v>0</v>
      </c>
      <c r="H103" s="98">
        <v>0</v>
      </c>
      <c r="I103" s="98">
        <v>0</v>
      </c>
      <c r="J103" s="98">
        <v>0</v>
      </c>
      <c r="K103" s="98">
        <v>0</v>
      </c>
      <c r="L103" s="98">
        <v>0</v>
      </c>
      <c r="M103" s="98">
        <v>0</v>
      </c>
      <c r="O103" s="92">
        <v>15057844</v>
      </c>
    </row>
    <row r="104" spans="1:15" s="92" customFormat="1" hidden="1">
      <c r="B104" s="92">
        <v>13</v>
      </c>
      <c r="D104" s="98">
        <v>0</v>
      </c>
      <c r="E104" s="98">
        <v>0</v>
      </c>
      <c r="F104" s="98"/>
      <c r="G104" s="98">
        <v>0</v>
      </c>
      <c r="H104" s="98">
        <v>0</v>
      </c>
      <c r="I104" s="98">
        <v>0</v>
      </c>
      <c r="J104" s="98">
        <v>0</v>
      </c>
      <c r="K104" s="98">
        <v>0</v>
      </c>
      <c r="L104" s="98">
        <v>0</v>
      </c>
      <c r="M104" s="98">
        <v>0</v>
      </c>
      <c r="O104" s="92">
        <v>10603512</v>
      </c>
    </row>
    <row r="105" spans="1:15" s="92" customFormat="1" hidden="1">
      <c r="B105" s="92">
        <v>14</v>
      </c>
      <c r="D105" s="98">
        <v>0</v>
      </c>
      <c r="E105" s="98">
        <v>0</v>
      </c>
      <c r="F105" s="98"/>
      <c r="G105" s="98">
        <v>0</v>
      </c>
      <c r="H105" s="98">
        <v>0</v>
      </c>
      <c r="I105" s="98">
        <v>0</v>
      </c>
      <c r="J105" s="98">
        <v>0</v>
      </c>
      <c r="K105" s="98">
        <v>0</v>
      </c>
      <c r="L105" s="98">
        <v>0</v>
      </c>
      <c r="M105" s="98">
        <v>0</v>
      </c>
      <c r="O105" s="92">
        <v>10931653</v>
      </c>
    </row>
    <row r="106" spans="1:15" s="92" customFormat="1" hidden="1">
      <c r="B106" s="92">
        <v>15</v>
      </c>
      <c r="D106" s="98">
        <v>0</v>
      </c>
      <c r="E106" s="98">
        <v>0</v>
      </c>
      <c r="F106" s="98"/>
      <c r="G106" s="98">
        <v>0</v>
      </c>
      <c r="H106" s="98">
        <v>0</v>
      </c>
      <c r="I106" s="98">
        <v>0</v>
      </c>
      <c r="J106" s="98">
        <v>0</v>
      </c>
      <c r="K106" s="98">
        <v>0</v>
      </c>
      <c r="L106" s="98">
        <v>0</v>
      </c>
      <c r="M106" s="98">
        <v>0</v>
      </c>
      <c r="O106" s="92">
        <v>10479842</v>
      </c>
    </row>
    <row r="107" spans="1:15" s="92" customFormat="1" hidden="1">
      <c r="B107" s="92">
        <v>16</v>
      </c>
      <c r="D107" s="98">
        <v>0</v>
      </c>
      <c r="E107" s="98">
        <v>0</v>
      </c>
      <c r="F107" s="98"/>
      <c r="G107" s="98">
        <v>0</v>
      </c>
      <c r="H107" s="98">
        <v>0</v>
      </c>
      <c r="I107" s="98">
        <v>0</v>
      </c>
      <c r="J107" s="98">
        <v>0</v>
      </c>
      <c r="K107" s="98">
        <v>0</v>
      </c>
      <c r="L107" s="98">
        <v>0</v>
      </c>
      <c r="M107" s="98">
        <v>0</v>
      </c>
      <c r="O107" s="92">
        <v>5920853</v>
      </c>
    </row>
    <row r="108" spans="1:15" s="92" customFormat="1" hidden="1">
      <c r="B108" s="92">
        <v>17</v>
      </c>
      <c r="D108" s="98">
        <v>0</v>
      </c>
      <c r="E108" s="98">
        <v>0</v>
      </c>
      <c r="F108" s="98"/>
      <c r="G108" s="98">
        <v>0</v>
      </c>
      <c r="H108" s="98">
        <v>0</v>
      </c>
      <c r="I108" s="98">
        <v>0</v>
      </c>
      <c r="J108" s="98">
        <v>0</v>
      </c>
      <c r="K108" s="98">
        <v>0</v>
      </c>
      <c r="L108" s="98">
        <v>0</v>
      </c>
      <c r="M108" s="98">
        <v>0</v>
      </c>
      <c r="O108" s="92">
        <v>0</v>
      </c>
    </row>
    <row r="109" spans="1:15" s="92" customFormat="1" hidden="1">
      <c r="B109" s="92">
        <v>18</v>
      </c>
      <c r="D109" s="98">
        <v>0</v>
      </c>
      <c r="E109" s="98">
        <v>0</v>
      </c>
      <c r="F109" s="98"/>
      <c r="G109" s="98">
        <v>0</v>
      </c>
      <c r="H109" s="98">
        <v>0</v>
      </c>
      <c r="I109" s="98">
        <v>0</v>
      </c>
      <c r="J109" s="98">
        <v>0</v>
      </c>
      <c r="K109" s="98">
        <v>0</v>
      </c>
      <c r="L109" s="98">
        <v>0</v>
      </c>
      <c r="M109" s="98">
        <v>0</v>
      </c>
      <c r="O109" s="92">
        <v>0</v>
      </c>
    </row>
    <row r="110" spans="1:15" s="92" customFormat="1" hidden="1">
      <c r="B110" s="92">
        <v>19</v>
      </c>
      <c r="D110" s="98">
        <v>0</v>
      </c>
      <c r="E110" s="98">
        <v>0</v>
      </c>
      <c r="F110" s="98"/>
      <c r="G110" s="98">
        <v>0</v>
      </c>
      <c r="H110" s="98">
        <v>0</v>
      </c>
      <c r="I110" s="98">
        <v>0</v>
      </c>
      <c r="J110" s="98">
        <v>0</v>
      </c>
      <c r="K110" s="98">
        <v>0</v>
      </c>
      <c r="L110" s="98">
        <v>0</v>
      </c>
      <c r="M110" s="98">
        <v>0</v>
      </c>
      <c r="O110" s="92">
        <v>0</v>
      </c>
    </row>
    <row r="111" spans="1:15" s="92" customFormat="1" hidden="1">
      <c r="A111" s="92">
        <v>7</v>
      </c>
      <c r="B111" s="92">
        <v>20</v>
      </c>
      <c r="D111" s="98">
        <v>0</v>
      </c>
      <c r="E111" s="98">
        <v>0</v>
      </c>
      <c r="F111" s="98"/>
      <c r="G111" s="98">
        <v>0</v>
      </c>
      <c r="H111" s="98">
        <v>0</v>
      </c>
      <c r="I111" s="98">
        <v>0</v>
      </c>
      <c r="J111" s="98">
        <v>0</v>
      </c>
      <c r="K111" s="98">
        <v>0</v>
      </c>
      <c r="L111" s="98">
        <v>0</v>
      </c>
      <c r="M111" s="98">
        <v>0</v>
      </c>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363</v>
      </c>
      <c r="D120" s="54">
        <v>727</v>
      </c>
      <c r="E120" s="54">
        <v>363</v>
      </c>
      <c r="F120" s="55">
        <v>1453</v>
      </c>
    </row>
    <row r="121" spans="1:15" ht="18" customHeight="1">
      <c r="A121" s="173" t="s">
        <v>191</v>
      </c>
      <c r="B121" s="33" t="s">
        <v>192</v>
      </c>
      <c r="C121" s="56">
        <v>7.5685124397277832</v>
      </c>
      <c r="D121" s="56">
        <v>7.2479227281174277</v>
      </c>
      <c r="E121" s="56">
        <v>6.9486227035522461</v>
      </c>
      <c r="F121" s="57">
        <v>7.2532415390014648</v>
      </c>
      <c r="G121" s="206"/>
      <c r="H121" s="206"/>
      <c r="I121" s="206"/>
      <c r="J121" s="206"/>
      <c r="K121" s="206"/>
      <c r="L121" s="206"/>
      <c r="M121" s="206"/>
      <c r="N121" s="206"/>
      <c r="O121" s="206"/>
    </row>
    <row r="122" spans="1:15" ht="18" customHeight="1">
      <c r="A122" s="174"/>
      <c r="B122" s="35" t="s">
        <v>184</v>
      </c>
      <c r="C122" s="58">
        <v>69.291770935058594</v>
      </c>
      <c r="D122" s="58">
        <v>55.808094475915375</v>
      </c>
      <c r="E122" s="58">
        <v>53.453701019287109</v>
      </c>
      <c r="F122" s="59">
        <v>58.592372894287109</v>
      </c>
      <c r="G122" s="206"/>
      <c r="H122" s="206"/>
      <c r="I122" s="206"/>
      <c r="J122" s="206"/>
      <c r="K122" s="206"/>
      <c r="L122" s="206"/>
      <c r="M122" s="206"/>
      <c r="N122" s="206"/>
      <c r="O122" s="206"/>
    </row>
    <row r="123" spans="1:15" ht="18" customHeight="1">
      <c r="A123" s="174"/>
      <c r="B123" s="35" t="s">
        <v>185</v>
      </c>
      <c r="C123" s="58">
        <v>11.115686416625977</v>
      </c>
      <c r="D123" s="58">
        <v>6.4040728166309968</v>
      </c>
      <c r="E123" s="58">
        <v>4.8359661102294922</v>
      </c>
      <c r="F123" s="59">
        <v>7.1894087791442871</v>
      </c>
      <c r="G123" s="206"/>
      <c r="H123" s="206"/>
      <c r="I123" s="206"/>
      <c r="J123" s="206"/>
      <c r="K123" s="206"/>
      <c r="L123" s="206"/>
      <c r="M123" s="206"/>
      <c r="N123" s="206"/>
      <c r="O123" s="206"/>
    </row>
    <row r="124" spans="1:15" ht="18" customHeight="1">
      <c r="A124" s="174"/>
      <c r="B124" s="35" t="s">
        <v>186</v>
      </c>
      <c r="C124" s="58">
        <v>56.945896148681641</v>
      </c>
      <c r="D124" s="58">
        <v>47.704264156756082</v>
      </c>
      <c r="E124" s="58">
        <v>44.826446533203125</v>
      </c>
      <c r="F124" s="59">
        <v>49.294120788574219</v>
      </c>
      <c r="G124" s="206"/>
      <c r="H124" s="206"/>
      <c r="I124" s="206"/>
      <c r="J124" s="206"/>
      <c r="K124" s="206"/>
      <c r="L124" s="206"/>
      <c r="M124" s="206"/>
      <c r="N124" s="206"/>
      <c r="O124" s="206"/>
    </row>
    <row r="125" spans="1:15" ht="18" customHeight="1">
      <c r="A125" s="174"/>
      <c r="B125" s="35" t="s">
        <v>187</v>
      </c>
      <c r="C125" s="31"/>
      <c r="D125" s="31"/>
      <c r="E125" s="31"/>
      <c r="F125" s="60"/>
      <c r="G125" s="206"/>
      <c r="H125" s="206"/>
      <c r="I125" s="206"/>
      <c r="J125" s="206"/>
      <c r="K125" s="206"/>
      <c r="L125" s="206"/>
      <c r="M125" s="206"/>
      <c r="N125" s="206"/>
      <c r="O125" s="206"/>
    </row>
    <row r="126" spans="1:15" ht="18" customHeight="1">
      <c r="A126" s="174"/>
      <c r="B126" s="35" t="s">
        <v>193</v>
      </c>
      <c r="C126" s="31"/>
      <c r="D126" s="31"/>
      <c r="E126" s="31"/>
      <c r="F126" s="60"/>
      <c r="G126" s="206"/>
      <c r="H126" s="206"/>
      <c r="I126" s="206"/>
      <c r="J126" s="206"/>
      <c r="K126" s="206"/>
      <c r="L126" s="206"/>
      <c r="M126" s="206"/>
      <c r="N126" s="206"/>
      <c r="O126" s="206"/>
    </row>
    <row r="127" spans="1:15" ht="18" customHeight="1">
      <c r="A127" s="174"/>
      <c r="B127" s="35" t="s">
        <v>189</v>
      </c>
      <c r="C127" s="58"/>
      <c r="D127" s="58"/>
      <c r="E127" s="58"/>
      <c r="F127" s="59"/>
      <c r="G127" s="206"/>
      <c r="H127" s="206"/>
      <c r="I127" s="206"/>
      <c r="J127" s="206"/>
      <c r="K127" s="206"/>
      <c r="L127" s="206"/>
      <c r="M127" s="206"/>
      <c r="N127" s="206"/>
      <c r="O127" s="206"/>
    </row>
    <row r="128" spans="1:15" ht="18" customHeight="1">
      <c r="A128" s="174"/>
      <c r="B128" s="35" t="s">
        <v>194</v>
      </c>
      <c r="C128" s="58">
        <v>30.889806747436523</v>
      </c>
      <c r="D128" s="58">
        <v>31.314993767823609</v>
      </c>
      <c r="E128" s="58">
        <v>31.303030014038086</v>
      </c>
      <c r="F128" s="59">
        <v>31.205781936645508</v>
      </c>
      <c r="G128" s="206"/>
      <c r="H128" s="206"/>
      <c r="I128" s="206"/>
      <c r="J128" s="206"/>
      <c r="K128" s="206"/>
      <c r="L128" s="206"/>
      <c r="M128" s="206"/>
      <c r="N128" s="206"/>
      <c r="O128" s="206"/>
    </row>
    <row r="129" spans="1:15" ht="18" customHeight="1">
      <c r="A129" s="174"/>
      <c r="B129" s="35" t="s">
        <v>195</v>
      </c>
      <c r="C129" s="61"/>
      <c r="D129" s="61"/>
      <c r="E129" s="61"/>
      <c r="F129" s="62"/>
      <c r="G129" s="206"/>
      <c r="H129" s="206"/>
      <c r="I129" s="206"/>
      <c r="J129" s="206"/>
      <c r="K129" s="206"/>
      <c r="L129" s="206"/>
      <c r="M129" s="206"/>
      <c r="N129" s="206"/>
      <c r="O129" s="206"/>
    </row>
    <row r="130" spans="1:15" ht="18" customHeight="1">
      <c r="A130" s="175"/>
      <c r="B130" s="37" t="s">
        <v>196</v>
      </c>
      <c r="C130" s="38"/>
      <c r="D130" s="38"/>
      <c r="E130" s="38"/>
      <c r="F130" s="63"/>
      <c r="G130" s="206"/>
      <c r="H130" s="206"/>
      <c r="I130" s="206"/>
      <c r="J130" s="206"/>
      <c r="K130" s="206"/>
      <c r="L130" s="206"/>
      <c r="M130" s="206"/>
      <c r="N130" s="206"/>
      <c r="O130" s="206"/>
    </row>
    <row r="131" spans="1:15" ht="18" customHeight="1">
      <c r="A131" s="184" t="s">
        <v>197</v>
      </c>
      <c r="B131" s="33" t="s">
        <v>198</v>
      </c>
      <c r="C131" s="64"/>
      <c r="D131" s="64"/>
      <c r="E131" s="64"/>
      <c r="F131" s="65"/>
      <c r="G131" s="206"/>
      <c r="H131" s="206"/>
      <c r="I131" s="206"/>
      <c r="J131" s="206"/>
      <c r="K131" s="206"/>
      <c r="L131" s="206"/>
      <c r="M131" s="206"/>
      <c r="N131" s="206"/>
      <c r="O131" s="206"/>
    </row>
    <row r="132" spans="1:15" ht="18" customHeight="1">
      <c r="A132" s="185"/>
      <c r="B132" s="35" t="s">
        <v>199</v>
      </c>
      <c r="C132" s="61"/>
      <c r="D132" s="61"/>
      <c r="E132" s="61"/>
      <c r="F132" s="62"/>
      <c r="G132" s="206"/>
      <c r="H132" s="206"/>
      <c r="I132" s="206"/>
      <c r="J132" s="206"/>
      <c r="K132" s="206"/>
      <c r="L132" s="206"/>
      <c r="M132" s="206"/>
      <c r="N132" s="206"/>
      <c r="O132" s="206"/>
    </row>
    <row r="133" spans="1:15" ht="18" customHeight="1">
      <c r="A133" s="185"/>
      <c r="B133" s="35" t="s">
        <v>154</v>
      </c>
      <c r="C133" s="61"/>
      <c r="D133" s="61"/>
      <c r="E133" s="61"/>
      <c r="F133" s="62"/>
      <c r="G133" s="206"/>
      <c r="H133" s="206"/>
      <c r="I133" s="206"/>
      <c r="J133" s="206"/>
      <c r="K133" s="206"/>
      <c r="L133" s="206"/>
      <c r="M133" s="206"/>
      <c r="N133" s="206"/>
      <c r="O133" s="206"/>
    </row>
    <row r="134" spans="1:15" ht="18" customHeight="1">
      <c r="A134" s="186"/>
      <c r="B134" s="37" t="s">
        <v>155</v>
      </c>
      <c r="C134" s="66"/>
      <c r="D134" s="66"/>
      <c r="E134" s="66"/>
      <c r="F134" s="67"/>
      <c r="G134" s="206"/>
      <c r="H134" s="206"/>
      <c r="I134" s="206"/>
      <c r="J134" s="206"/>
      <c r="K134" s="206"/>
      <c r="L134" s="206"/>
      <c r="M134" s="206"/>
      <c r="N134" s="206"/>
      <c r="O134" s="206"/>
    </row>
    <row r="135" spans="1:15" ht="18" customHeight="1">
      <c r="A135" s="187" t="s">
        <v>254</v>
      </c>
      <c r="B135" s="35" t="s">
        <v>255</v>
      </c>
      <c r="C135" s="68"/>
      <c r="D135" s="68"/>
      <c r="E135" s="68"/>
      <c r="F135" s="69"/>
      <c r="G135" s="206"/>
      <c r="H135" s="206"/>
      <c r="I135" s="206"/>
      <c r="J135" s="206"/>
      <c r="K135" s="206"/>
      <c r="L135" s="206"/>
      <c r="M135" s="206"/>
      <c r="N135" s="206"/>
      <c r="O135" s="206"/>
    </row>
    <row r="136" spans="1:15" ht="18" customHeight="1">
      <c r="A136" s="188"/>
      <c r="B136" s="35" t="s">
        <v>256</v>
      </c>
      <c r="C136" s="30"/>
      <c r="D136" s="30"/>
      <c r="E136" s="30"/>
      <c r="F136" s="70"/>
      <c r="G136" s="206"/>
      <c r="H136" s="206"/>
      <c r="I136" s="206"/>
      <c r="J136" s="206"/>
      <c r="K136" s="206"/>
      <c r="L136" s="206"/>
      <c r="M136" s="206"/>
      <c r="N136" s="206"/>
      <c r="O136" s="206"/>
    </row>
    <row r="137" spans="1:15" ht="18" customHeight="1">
      <c r="A137" s="188"/>
      <c r="B137" s="35" t="s">
        <v>257</v>
      </c>
      <c r="C137" s="30"/>
      <c r="D137" s="30"/>
      <c r="E137" s="30"/>
      <c r="F137" s="70"/>
      <c r="G137" s="206"/>
      <c r="H137" s="206"/>
      <c r="I137" s="206"/>
      <c r="J137" s="206"/>
      <c r="K137" s="206"/>
      <c r="L137" s="206"/>
      <c r="M137" s="206"/>
      <c r="N137" s="206"/>
      <c r="O137" s="206"/>
    </row>
    <row r="138" spans="1:15" ht="18" customHeight="1">
      <c r="A138" s="188"/>
      <c r="B138" s="35" t="s">
        <v>258</v>
      </c>
      <c r="C138" s="30"/>
      <c r="D138" s="30"/>
      <c r="E138" s="30"/>
      <c r="F138" s="70"/>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c r="D139" s="30"/>
      <c r="E139" s="30"/>
      <c r="F139" s="70"/>
      <c r="G139" s="206"/>
      <c r="H139" s="206"/>
      <c r="I139" s="46"/>
      <c r="J139" s="206"/>
      <c r="K139" s="71" t="s">
        <v>260</v>
      </c>
      <c r="L139" s="72">
        <f t="shared" ref="L139:M141" si="2">C140</f>
        <v>0</v>
      </c>
      <c r="M139" s="72">
        <f t="shared" si="2"/>
        <v>0</v>
      </c>
      <c r="N139" s="72">
        <f>E140</f>
        <v>0</v>
      </c>
      <c r="O139" s="72"/>
    </row>
    <row r="140" spans="1:15" ht="18" customHeight="1">
      <c r="A140" s="166" t="s">
        <v>261</v>
      </c>
      <c r="B140" s="33" t="s">
        <v>262</v>
      </c>
      <c r="C140" s="73"/>
      <c r="D140" s="73"/>
      <c r="E140" s="73"/>
      <c r="F140" s="74"/>
      <c r="G140" s="206"/>
      <c r="H140" s="206"/>
      <c r="I140" s="46"/>
      <c r="J140" s="206"/>
      <c r="K140" s="71" t="s">
        <v>263</v>
      </c>
      <c r="L140" s="72">
        <f t="shared" si="2"/>
        <v>0</v>
      </c>
      <c r="M140" s="72">
        <f t="shared" si="2"/>
        <v>0</v>
      </c>
      <c r="N140" s="72">
        <f>E141</f>
        <v>0</v>
      </c>
      <c r="O140" s="72"/>
    </row>
    <row r="141" spans="1:15" ht="18" customHeight="1">
      <c r="A141" s="167"/>
      <c r="B141" s="35" t="s">
        <v>264</v>
      </c>
      <c r="C141" s="30"/>
      <c r="D141" s="30"/>
      <c r="E141" s="30"/>
      <c r="F141" s="70"/>
      <c r="G141" s="206"/>
      <c r="H141" s="206"/>
      <c r="I141" s="46"/>
      <c r="J141" s="206"/>
      <c r="K141" s="71" t="s">
        <v>265</v>
      </c>
      <c r="L141" s="72">
        <f t="shared" si="2"/>
        <v>0</v>
      </c>
      <c r="M141" s="72">
        <f t="shared" si="2"/>
        <v>0</v>
      </c>
      <c r="N141" s="72">
        <f>E142</f>
        <v>0</v>
      </c>
      <c r="O141" s="72"/>
    </row>
    <row r="142" spans="1:15" ht="18" customHeight="1">
      <c r="A142" s="168"/>
      <c r="B142" s="37" t="s">
        <v>266</v>
      </c>
      <c r="C142" s="38"/>
      <c r="D142" s="38"/>
      <c r="E142" s="38"/>
      <c r="F142" s="63"/>
      <c r="G142" s="206"/>
      <c r="H142" s="206"/>
      <c r="I142" s="46"/>
      <c r="J142" s="206"/>
      <c r="K142" s="71" t="s">
        <v>267</v>
      </c>
      <c r="L142" s="75" t="str">
        <f>IFERROR(L140/L$139,"")</f>
        <v/>
      </c>
      <c r="M142" s="75" t="str">
        <f t="shared" ref="M142:N143" si="3">IFERROR(M140/M$139,"")</f>
        <v/>
      </c>
      <c r="N142" s="75" t="str">
        <f t="shared" si="3"/>
        <v/>
      </c>
      <c r="O142" s="75"/>
    </row>
    <row r="143" spans="1:15" ht="18" customHeight="1">
      <c r="A143" s="206"/>
      <c r="B143" s="206"/>
      <c r="C143" s="206"/>
      <c r="D143" s="206"/>
      <c r="E143" s="206"/>
      <c r="F143" s="206"/>
      <c r="G143" s="206"/>
      <c r="H143" s="206"/>
      <c r="I143" s="46"/>
      <c r="J143" s="206"/>
      <c r="K143" s="71" t="s">
        <v>268</v>
      </c>
      <c r="L143" s="75" t="str">
        <f>IFERROR(L141/L$139,"")</f>
        <v/>
      </c>
      <c r="M143" s="75" t="str">
        <f t="shared" si="3"/>
        <v/>
      </c>
      <c r="N143" s="75" t="str">
        <f t="shared" si="3"/>
        <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3</v>
      </c>
      <c r="B161" s="51"/>
      <c r="C161" s="76" t="s">
        <v>249</v>
      </c>
      <c r="D161" s="76" t="s">
        <v>270</v>
      </c>
      <c r="E161" s="76" t="s">
        <v>251</v>
      </c>
      <c r="F161" s="76" t="s">
        <v>271</v>
      </c>
      <c r="G161" s="77">
        <v>3</v>
      </c>
      <c r="H161" s="76"/>
      <c r="I161" s="76" t="s">
        <v>249</v>
      </c>
      <c r="J161" s="76" t="s">
        <v>270</v>
      </c>
      <c r="K161" s="76" t="s">
        <v>251</v>
      </c>
      <c r="L161" s="51" t="s">
        <v>271</v>
      </c>
      <c r="R161" s="206"/>
      <c r="S161" s="206"/>
    </row>
    <row r="162" spans="1:19" s="46" customFormat="1">
      <c r="A162" s="47">
        <v>1</v>
      </c>
      <c r="B162" s="51"/>
      <c r="C162" s="51">
        <v>0</v>
      </c>
      <c r="D162" s="51">
        <v>0</v>
      </c>
      <c r="E162" s="51">
        <v>0</v>
      </c>
      <c r="F162" s="47"/>
      <c r="G162" s="47">
        <v>1</v>
      </c>
      <c r="H162" s="51"/>
      <c r="I162" s="51">
        <v>0</v>
      </c>
      <c r="J162" s="51">
        <v>0</v>
      </c>
      <c r="K162" s="51">
        <v>0</v>
      </c>
      <c r="L162" s="47"/>
      <c r="R162" s="206"/>
      <c r="S162" s="206"/>
    </row>
    <row r="163" spans="1:19" s="46" customFormat="1">
      <c r="A163" s="47">
        <v>2</v>
      </c>
      <c r="B163" s="51" t="s">
        <v>245</v>
      </c>
      <c r="C163" s="51">
        <v>0</v>
      </c>
      <c r="D163" s="51">
        <v>0</v>
      </c>
      <c r="E163" s="51">
        <v>0</v>
      </c>
      <c r="F163" s="47">
        <v>5920853</v>
      </c>
      <c r="G163" s="47">
        <v>2</v>
      </c>
      <c r="H163" s="51" t="s">
        <v>245</v>
      </c>
      <c r="I163" s="51">
        <v>0</v>
      </c>
      <c r="J163" s="51">
        <v>0</v>
      </c>
      <c r="K163" s="51">
        <v>0</v>
      </c>
      <c r="L163" s="47">
        <v>5920853</v>
      </c>
      <c r="N163" s="46" t="s">
        <v>272</v>
      </c>
      <c r="R163" s="206"/>
      <c r="S163" s="206"/>
    </row>
    <row r="164" spans="1:19" s="46" customFormat="1">
      <c r="A164" s="47">
        <v>3</v>
      </c>
      <c r="B164" s="51"/>
      <c r="C164" s="51">
        <v>0</v>
      </c>
      <c r="D164" s="51">
        <v>0</v>
      </c>
      <c r="E164" s="51">
        <v>0</v>
      </c>
      <c r="F164" s="47"/>
      <c r="G164" s="47">
        <v>3</v>
      </c>
      <c r="H164" s="51"/>
      <c r="I164" s="51">
        <v>0</v>
      </c>
      <c r="J164" s="51">
        <v>0</v>
      </c>
      <c r="K164" s="51">
        <v>0</v>
      </c>
      <c r="L164" s="47"/>
      <c r="N164" s="46" t="s">
        <v>273</v>
      </c>
      <c r="R164" s="206"/>
      <c r="S164" s="206"/>
    </row>
    <row r="165" spans="1:19" s="46" customFormat="1">
      <c r="A165" s="47">
        <v>4</v>
      </c>
      <c r="B165" s="51"/>
      <c r="C165" s="51">
        <v>0</v>
      </c>
      <c r="D165" s="51">
        <v>0</v>
      </c>
      <c r="E165" s="51">
        <v>0</v>
      </c>
      <c r="F165" s="47"/>
      <c r="G165" s="47">
        <v>4</v>
      </c>
      <c r="H165" s="51"/>
      <c r="I165" s="51">
        <v>0</v>
      </c>
      <c r="J165" s="51">
        <v>0</v>
      </c>
      <c r="K165" s="51">
        <v>0</v>
      </c>
      <c r="L165" s="47"/>
      <c r="R165" s="206"/>
      <c r="S165" s="206"/>
    </row>
    <row r="166" spans="1:19" s="46" customFormat="1">
      <c r="A166" s="47">
        <v>5</v>
      </c>
      <c r="B166" s="51"/>
      <c r="C166" s="51">
        <v>0</v>
      </c>
      <c r="D166" s="51">
        <v>0</v>
      </c>
      <c r="E166" s="51">
        <v>0</v>
      </c>
      <c r="F166" s="47"/>
      <c r="G166" s="47">
        <v>5</v>
      </c>
      <c r="H166" s="51"/>
      <c r="I166" s="51">
        <v>0</v>
      </c>
      <c r="J166" s="51">
        <v>0</v>
      </c>
      <c r="K166" s="51">
        <v>0</v>
      </c>
      <c r="L166" s="47"/>
      <c r="R166" s="206"/>
      <c r="S166" s="206"/>
    </row>
    <row r="167" spans="1:19" s="46" customFormat="1">
      <c r="A167" s="47">
        <v>6</v>
      </c>
      <c r="B167" s="51"/>
      <c r="C167" s="51">
        <v>0</v>
      </c>
      <c r="D167" s="51">
        <v>0</v>
      </c>
      <c r="E167" s="51">
        <v>0</v>
      </c>
      <c r="F167" s="47"/>
      <c r="G167" s="47">
        <v>6</v>
      </c>
      <c r="H167" s="51"/>
      <c r="I167" s="51">
        <v>0</v>
      </c>
      <c r="J167" s="51">
        <v>0</v>
      </c>
      <c r="K167" s="51">
        <v>0</v>
      </c>
      <c r="L167" s="47"/>
      <c r="R167" s="206"/>
      <c r="S167" s="206"/>
    </row>
    <row r="168" spans="1:19" s="46" customFormat="1">
      <c r="A168" s="47">
        <v>7</v>
      </c>
      <c r="B168" s="51"/>
      <c r="C168" s="51">
        <v>0</v>
      </c>
      <c r="D168" s="51">
        <v>0</v>
      </c>
      <c r="E168" s="51">
        <v>0</v>
      </c>
      <c r="F168" s="47"/>
      <c r="G168" s="47">
        <v>7</v>
      </c>
      <c r="H168" s="51"/>
      <c r="I168" s="51">
        <v>0</v>
      </c>
      <c r="J168" s="51">
        <v>0</v>
      </c>
      <c r="K168" s="51">
        <v>0</v>
      </c>
      <c r="L168" s="47"/>
      <c r="R168" s="206"/>
      <c r="S168" s="206"/>
    </row>
    <row r="169" spans="1:19" s="46" customFormat="1">
      <c r="A169" s="47">
        <v>8</v>
      </c>
      <c r="B169" s="51"/>
      <c r="C169" s="51">
        <v>0</v>
      </c>
      <c r="D169" s="51">
        <v>0</v>
      </c>
      <c r="E169" s="51">
        <v>0</v>
      </c>
      <c r="F169" s="47"/>
      <c r="G169" s="47">
        <v>8</v>
      </c>
      <c r="H169" s="51"/>
      <c r="I169" s="51">
        <v>0</v>
      </c>
      <c r="J169" s="51">
        <v>0</v>
      </c>
      <c r="K169" s="51">
        <v>0</v>
      </c>
      <c r="L169" s="47"/>
      <c r="R169" s="206"/>
      <c r="S169" s="206"/>
    </row>
    <row r="170" spans="1:19" s="46" customFormat="1">
      <c r="A170" s="47">
        <v>9</v>
      </c>
      <c r="B170" s="51"/>
      <c r="C170" s="51">
        <v>0</v>
      </c>
      <c r="D170" s="51">
        <v>0</v>
      </c>
      <c r="E170" s="51">
        <v>0</v>
      </c>
      <c r="F170" s="47"/>
      <c r="G170" s="47">
        <v>9</v>
      </c>
      <c r="H170" s="51"/>
      <c r="I170" s="51">
        <v>0</v>
      </c>
      <c r="J170" s="51">
        <v>0</v>
      </c>
      <c r="K170" s="51">
        <v>0</v>
      </c>
      <c r="L170" s="47"/>
      <c r="R170" s="206"/>
      <c r="S170" s="206"/>
    </row>
    <row r="171" spans="1:19" s="46" customFormat="1">
      <c r="A171" s="47">
        <v>10</v>
      </c>
      <c r="B171" s="51"/>
      <c r="C171" s="51">
        <v>0</v>
      </c>
      <c r="D171" s="51">
        <v>0</v>
      </c>
      <c r="E171" s="51">
        <v>0</v>
      </c>
      <c r="F171" s="47"/>
      <c r="G171" s="47">
        <v>10</v>
      </c>
      <c r="H171" s="51"/>
      <c r="I171" s="51">
        <v>0</v>
      </c>
      <c r="J171" s="51">
        <v>0</v>
      </c>
      <c r="K171" s="51">
        <v>0</v>
      </c>
      <c r="L171" s="47"/>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D0D1A281-3C3A-4264-BABE-CACA3AFA87FB}">
      <formula1>$C$112:$C$113</formula1>
    </dataValidation>
  </dataValidations>
  <hyperlinks>
    <hyperlink ref="O1:P1" location="Home_page" display="Back to home page" xr:uid="{63F6C8CE-9EC9-414E-84B3-443CD0B2DA53}"/>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27724901-339E-4031-9A82-6B75072564F5}">
          <x14:colorSeries rgb="FF323232"/>
          <x14:colorNegative rgb="FFD00000"/>
          <x14:colorAxis rgb="FF000000"/>
          <x14:colorMarkers rgb="FFD00000"/>
          <x14:colorFirst rgb="FFD00000"/>
          <x14:colorLast rgb="FFD00000"/>
          <x14:colorHigh rgb="FFD00000"/>
          <x14:colorLow rgb="FFD00000"/>
          <x14:sparklines>
            <x14:sparkline>
              <xm:f>Inactive!D3:N3</xm:f>
              <xm:sqref>C3</xm:sqref>
            </x14:sparkline>
            <x14:sparkline>
              <xm:f>Inactive!D4:N4</xm:f>
              <xm:sqref>C4</xm:sqref>
            </x14:sparkline>
            <x14:sparkline>
              <xm:f>Inactive!D5:N5</xm:f>
              <xm:sqref>C5</xm:sqref>
            </x14:sparkline>
            <x14:sparkline>
              <xm:f>Inactive!D6:N6</xm:f>
              <xm:sqref>C6</xm:sqref>
            </x14:sparkline>
            <x14:sparkline>
              <xm:f>Inactive!D7:N7</xm:f>
              <xm:sqref>C7</xm:sqref>
            </x14:sparkline>
            <x14:sparkline>
              <xm:f>Inactive!D8:N8</xm:f>
              <xm:sqref>C8</xm:sqref>
            </x14:sparkline>
            <x14:sparkline>
              <xm:f>Inactive!D9:N9</xm:f>
              <xm:sqref>C9</xm:sqref>
            </x14:sparkline>
            <x14:sparkline>
              <xm:f>Inactive!D10:N10</xm:f>
              <xm:sqref>C10</xm:sqref>
            </x14:sparkline>
            <x14:sparkline>
              <xm:f>Inactive!D11:N11</xm:f>
              <xm:sqref>C11</xm:sqref>
            </x14:sparkline>
            <x14:sparkline>
              <xm:f>Inactive!D12:N12</xm:f>
              <xm:sqref>C12</xm:sqref>
            </x14:sparkline>
            <x14:sparkline>
              <xm:f>Inactive!D13:N13</xm:f>
              <xm:sqref>C13</xm:sqref>
            </x14:sparkline>
            <x14:sparkline>
              <xm:f>Inactive!D14:N14</xm:f>
              <xm:sqref>C14</xm:sqref>
            </x14:sparkline>
            <x14:sparkline>
              <xm:f>Inactive!D15:N15</xm:f>
              <xm:sqref>C15</xm:sqref>
            </x14:sparkline>
            <x14:sparkline>
              <xm:f>Inactive!D16:N16</xm:f>
              <xm:sqref>C16</xm:sqref>
            </x14:sparkline>
            <x14:sparkline>
              <xm:f>Inactive!D17:N17</xm:f>
              <xm:sqref>C17</xm:sqref>
            </x14:sparkline>
            <x14:sparkline>
              <xm:f>Inactive!D18:N18</xm:f>
              <xm:sqref>C18</xm:sqref>
            </x14:sparkline>
            <x14:sparkline>
              <xm:f>Inactive!D19:N19</xm:f>
              <xm:sqref>C19</xm:sqref>
            </x14:sparkline>
            <x14:sparkline>
              <xm:f>Inactive!D20:N20</xm:f>
              <xm:sqref>C20</xm:sqref>
            </x14:sparkline>
            <x14:sparkline>
              <xm:f>Inactive!D21:N21</xm:f>
              <xm:sqref>C21</xm:sqref>
            </x14:sparkline>
            <x14:sparkline>
              <xm:f>Inactive!D22:N22</xm:f>
              <xm:sqref>C22</xm:sqref>
            </x14:sparkline>
            <x14:sparkline>
              <xm:f>Inactive!D23:N23</xm:f>
              <xm:sqref>C23</xm:sqref>
            </x14:sparkline>
            <x14:sparkline>
              <xm:f>Inactive!D24:N24</xm:f>
              <xm:sqref>C24</xm:sqref>
            </x14:sparkline>
            <x14:sparkline>
              <xm:f>Inactive!D25:N25</xm:f>
              <xm:sqref>C25</xm:sqref>
            </x14:sparkline>
            <x14:sparkline>
              <xm:f>Inactive!D26:N26</xm:f>
              <xm:sqref>C26</xm:sqref>
            </x14:sparkline>
            <x14:sparkline>
              <xm:f>Inactive!D27:N27</xm:f>
              <xm:sqref>C27</xm:sqref>
            </x14:sparkline>
            <x14:sparkline>
              <xm:f>Inactive!D28:N28</xm:f>
              <xm:sqref>C28</xm:sqref>
            </x14:sparkline>
            <x14:sparkline>
              <xm:f>Inactive!D29:N29</xm:f>
              <xm:sqref>C29</xm:sqref>
            </x14:sparkline>
            <x14:sparkline>
              <xm:f>Inactive!D30:N30</xm:f>
              <xm:sqref>C30</xm:sqref>
            </x14:sparkline>
            <x14:sparkline>
              <xm:f>Inactive!D31:N31</xm:f>
              <xm:sqref>C31</xm:sqref>
            </x14:sparkline>
            <x14:sparkline>
              <xm:f>Inactive!D32:N32</xm:f>
              <xm:sqref>C32</xm:sqref>
            </x14:sparkline>
            <x14:sparkline>
              <xm:f>Inactive!D33:N33</xm:f>
              <xm:sqref>C33</xm:sqref>
            </x14:sparkline>
            <x14:sparkline>
              <xm:f>Inactive!D34:N34</xm:f>
              <xm:sqref>C34</xm:sqref>
            </x14:sparkline>
            <x14:sparkline>
              <xm:f>Inactive!D35:N35</xm:f>
              <xm:sqref>C35</xm:sqref>
            </x14:sparkline>
            <x14:sparkline>
              <xm:f>Inactive!D36:N36</xm:f>
              <xm:sqref>C36</xm:sqref>
            </x14:sparkline>
            <x14:sparkline>
              <xm:f>Inactive!D37:N37</xm:f>
              <xm:sqref>C37</xm:sqref>
            </x14:sparkline>
            <x14:sparkline>
              <xm:f>Inactive!D38:N38</xm:f>
              <xm:sqref>C38</xm:sqref>
            </x14:sparkline>
            <x14:sparkline>
              <xm:f>Inactive!D39:N39</xm:f>
              <xm:sqref>C39</xm:sqref>
            </x14:sparkline>
            <x14:sparkline>
              <xm:f>Inactive!D40:N40</xm:f>
              <xm:sqref>C40</xm:sqref>
            </x14:sparkline>
            <x14:sparkline>
              <xm:f>Inactive!D41:N41</xm:f>
              <xm:sqref>C41</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C7402-657D-4A8A-B7C3-0180B93FF433}">
  <sheetPr codeName="Feuil13">
    <pageSetUpPr fitToPage="1"/>
  </sheetPr>
  <dimension ref="A1:S192"/>
  <sheetViews>
    <sheetView topLeftCell="A43"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17</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25</v>
      </c>
      <c r="E3" s="27">
        <v>19</v>
      </c>
      <c r="F3" s="27">
        <v>25</v>
      </c>
      <c r="G3" s="27">
        <v>25</v>
      </c>
      <c r="H3" s="27">
        <v>27</v>
      </c>
      <c r="I3" s="27">
        <v>23</v>
      </c>
      <c r="J3" s="27">
        <v>26</v>
      </c>
      <c r="K3" s="27">
        <v>28</v>
      </c>
      <c r="L3" s="27">
        <v>30</v>
      </c>
      <c r="M3" s="27">
        <v>31</v>
      </c>
      <c r="N3" s="27">
        <v>26</v>
      </c>
      <c r="O3" s="28">
        <f t="shared" ref="O3:O41" si="0">IF(N3=0,"",IFERROR(IF(AND(N3&gt;0,D3&lt;0),"na",IF(AND(N3&lt;0,D3&lt;0),-1,1)*(N3-D3)/D3),""))</f>
        <v>0.04</v>
      </c>
      <c r="P3" s="28">
        <f t="shared" ref="P3:P41" si="1">IF(N3=0,"",IFERROR(IF(AND(N3&gt;0,J3&lt;0),"na",IF(AND(N3&lt;0,J3&lt;0),-1,1)*(N3-J3)/J3),""))</f>
        <v>0</v>
      </c>
      <c r="Q3" s="206"/>
    </row>
    <row r="4" spans="1:17" ht="18" customHeight="1">
      <c r="A4" s="172"/>
      <c r="B4" s="29" t="s">
        <v>184</v>
      </c>
      <c r="C4" s="30"/>
      <c r="D4" s="30">
        <v>7609</v>
      </c>
      <c r="E4" s="30">
        <v>5942</v>
      </c>
      <c r="F4" s="30">
        <v>6819</v>
      </c>
      <c r="G4" s="30">
        <v>6770</v>
      </c>
      <c r="H4" s="30">
        <v>7894</v>
      </c>
      <c r="I4" s="30">
        <v>7783</v>
      </c>
      <c r="J4" s="30">
        <v>9180</v>
      </c>
      <c r="K4" s="30">
        <v>9568</v>
      </c>
      <c r="L4" s="30">
        <v>9579</v>
      </c>
      <c r="M4" s="30">
        <v>9520</v>
      </c>
      <c r="N4" s="30">
        <v>7542</v>
      </c>
      <c r="O4" s="28">
        <f t="shared" si="0"/>
        <v>-8.8053620712314363E-3</v>
      </c>
      <c r="P4" s="28">
        <f t="shared" si="1"/>
        <v>-0.17843137254901961</v>
      </c>
      <c r="Q4" s="206"/>
    </row>
    <row r="5" spans="1:17" ht="18" customHeight="1">
      <c r="A5" s="172"/>
      <c r="B5" s="29" t="s">
        <v>185</v>
      </c>
      <c r="C5" s="30"/>
      <c r="D5" s="30">
        <v>2828</v>
      </c>
      <c r="E5" s="30">
        <v>2320</v>
      </c>
      <c r="F5" s="30">
        <v>2608</v>
      </c>
      <c r="G5" s="30">
        <v>2387</v>
      </c>
      <c r="H5" s="30">
        <v>3071</v>
      </c>
      <c r="I5" s="30">
        <v>3013</v>
      </c>
      <c r="J5" s="30">
        <v>3503</v>
      </c>
      <c r="K5" s="30">
        <v>3527</v>
      </c>
      <c r="L5" s="30">
        <v>3832</v>
      </c>
      <c r="M5" s="30">
        <v>3656</v>
      </c>
      <c r="N5" s="30">
        <v>3145</v>
      </c>
      <c r="O5" s="28">
        <f t="shared" si="0"/>
        <v>0.11209335219236209</v>
      </c>
      <c r="P5" s="28">
        <f t="shared" si="1"/>
        <v>-0.10219811590065658</v>
      </c>
      <c r="Q5" s="207"/>
    </row>
    <row r="6" spans="1:17" ht="18" customHeight="1">
      <c r="A6" s="172"/>
      <c r="B6" s="29" t="s">
        <v>186</v>
      </c>
      <c r="C6" s="30"/>
      <c r="D6" s="30">
        <v>6585.47802734375</v>
      </c>
      <c r="E6" s="30">
        <v>5226.81201171875</v>
      </c>
      <c r="F6" s="30">
        <v>6046.2841796875</v>
      </c>
      <c r="G6" s="30">
        <v>5818.54248046875</v>
      </c>
      <c r="H6" s="30">
        <v>6875.6357421875</v>
      </c>
      <c r="I6" s="30">
        <v>6544.40869140625</v>
      </c>
      <c r="J6" s="30">
        <v>7697.81884765625</v>
      </c>
      <c r="K6" s="30">
        <v>7968.837890625</v>
      </c>
      <c r="L6" s="30">
        <v>8270.0146484375</v>
      </c>
      <c r="M6" s="30">
        <v>8126.2587890625</v>
      </c>
      <c r="N6" s="30">
        <v>6623.48876953125</v>
      </c>
      <c r="O6" s="28">
        <f t="shared" si="0"/>
        <v>5.7719032740940783E-3</v>
      </c>
      <c r="P6" s="28">
        <f t="shared" si="1"/>
        <v>-0.13956292027476078</v>
      </c>
      <c r="Q6" s="206"/>
    </row>
    <row r="7" spans="1:17" ht="18" customHeight="1">
      <c r="A7" s="172"/>
      <c r="B7" s="29" t="s">
        <v>187</v>
      </c>
      <c r="C7" s="30"/>
      <c r="D7" s="30">
        <v>5533.4541015625</v>
      </c>
      <c r="E7" s="30">
        <v>5627.51953125</v>
      </c>
      <c r="F7" s="30">
        <v>5765.16943359375</v>
      </c>
      <c r="G7" s="30">
        <v>5824.91650390625</v>
      </c>
      <c r="H7" s="30">
        <v>7832.70361328125</v>
      </c>
      <c r="I7" s="30">
        <v>7854.80615234375</v>
      </c>
      <c r="J7" s="30">
        <v>9186.75</v>
      </c>
      <c r="K7" s="30">
        <v>8254.1591796875</v>
      </c>
      <c r="L7" s="30">
        <v>6210.29736328125</v>
      </c>
      <c r="M7" s="30">
        <v>5381.28369140625</v>
      </c>
      <c r="N7" s="30">
        <v>3605.552001953125</v>
      </c>
      <c r="O7" s="28">
        <f t="shared" si="0"/>
        <v>-0.34840843788059739</v>
      </c>
      <c r="P7" s="28">
        <f t="shared" si="1"/>
        <v>-0.60752692715561818</v>
      </c>
      <c r="Q7" s="206"/>
    </row>
    <row r="8" spans="1:17" ht="18" customHeight="1">
      <c r="A8" s="172"/>
      <c r="B8" s="29" t="s">
        <v>188</v>
      </c>
      <c r="C8" s="31"/>
      <c r="D8" s="31">
        <f ca="1">15.039132*OFFSET(D$112,MATCH($N$1,$C$112:$C$113,0)-1,0)</f>
        <v>15.039132</v>
      </c>
      <c r="E8" s="31">
        <f ca="1">15.247126*OFFSET(E$112,MATCH($N$1,$C$112:$C$113,0)-1,0)</f>
        <v>15.247126</v>
      </c>
      <c r="F8" s="31">
        <f ca="1">17.387658*OFFSET(F$112,MATCH($N$1,$C$112:$C$113,0)-1,0)</f>
        <v>17.387657999999998</v>
      </c>
      <c r="G8" s="31">
        <f ca="1">20.01662*OFFSET(G$112,MATCH($N$1,$C$112:$C$113,0)-1,0)</f>
        <v>20.01662</v>
      </c>
      <c r="H8" s="31">
        <f ca="1">24.313298*OFFSET(H$112,MATCH($N$1,$C$112:$C$113,0)-1,0)</f>
        <v>24.313298</v>
      </c>
      <c r="I8" s="31">
        <f ca="1">26.811496*OFFSET(I$112,MATCH($N$1,$C$112:$C$113,0)-1,0)</f>
        <v>26.811496000000002</v>
      </c>
      <c r="J8" s="31">
        <f ca="1">28.322382*OFFSET(J$112,MATCH($N$1,$C$112:$C$113,0)-1,0)</f>
        <v>28.322382000000001</v>
      </c>
      <c r="K8" s="31">
        <f ca="1">20.476768*OFFSET(K$112,MATCH($N$1,$C$112:$C$113,0)-1,0)</f>
        <v>20.476768</v>
      </c>
      <c r="L8" s="31">
        <f ca="1">15.910388*OFFSET(L$112,MATCH($N$1,$C$112:$C$113,0)-1,0)</f>
        <v>15.910387999999999</v>
      </c>
      <c r="M8" s="31">
        <f ca="1">14.086826*OFFSET(M$112,MATCH($N$1,$C$112:$C$113,0)-1,0)</f>
        <v>14.086826</v>
      </c>
      <c r="N8" s="31">
        <v>7.543666</v>
      </c>
      <c r="O8" s="28">
        <f t="shared" ca="1" si="0"/>
        <v>-0.49839751389907344</v>
      </c>
      <c r="P8" s="28">
        <f t="shared" ca="1" si="1"/>
        <v>-0.73365001573667077</v>
      </c>
      <c r="Q8" s="206"/>
    </row>
    <row r="9" spans="1:17" ht="18" customHeight="1">
      <c r="A9" s="172"/>
      <c r="B9" s="29" t="s">
        <v>189</v>
      </c>
      <c r="C9" s="30"/>
      <c r="D9" s="30">
        <v>4120</v>
      </c>
      <c r="E9" s="30">
        <v>3271</v>
      </c>
      <c r="F9" s="30">
        <v>3611</v>
      </c>
      <c r="G9" s="30">
        <v>4128</v>
      </c>
      <c r="H9" s="30">
        <v>4121</v>
      </c>
      <c r="I9" s="30">
        <v>4077</v>
      </c>
      <c r="J9" s="30">
        <v>4711</v>
      </c>
      <c r="K9" s="30">
        <v>4935</v>
      </c>
      <c r="L9" s="30">
        <v>5408</v>
      </c>
      <c r="M9" s="30">
        <v>5032</v>
      </c>
      <c r="N9" s="30">
        <v>3819</v>
      </c>
      <c r="O9" s="28">
        <f t="shared" si="0"/>
        <v>-7.3058252427184472E-2</v>
      </c>
      <c r="P9" s="28">
        <f t="shared" si="1"/>
        <v>-0.18934408830396943</v>
      </c>
      <c r="Q9" s="206"/>
    </row>
    <row r="10" spans="1:17" ht="18" customHeight="1">
      <c r="A10" s="172"/>
      <c r="B10" s="29" t="s">
        <v>190</v>
      </c>
      <c r="C10" s="30"/>
      <c r="D10" s="30">
        <v>192.80319213867188</v>
      </c>
      <c r="E10" s="30">
        <v>188.04582214355469</v>
      </c>
      <c r="F10" s="30">
        <v>188.43496704101563</v>
      </c>
      <c r="G10" s="30">
        <v>172.83122253417969</v>
      </c>
      <c r="H10" s="30">
        <v>210.42721557617188</v>
      </c>
      <c r="I10" s="30">
        <v>232.92453002929688</v>
      </c>
      <c r="J10" s="30">
        <v>252.04864501953125</v>
      </c>
      <c r="K10" s="30">
        <v>276.26986694335938</v>
      </c>
      <c r="L10" s="30">
        <v>198.16952514648438</v>
      </c>
      <c r="M10" s="30">
        <v>271.00296020507813</v>
      </c>
      <c r="N10" s="30">
        <v>211.66433715820313</v>
      </c>
      <c r="O10" s="32">
        <f t="shared" si="0"/>
        <v>9.7825895983950042E-2</v>
      </c>
      <c r="P10" s="32">
        <f t="shared" si="1"/>
        <v>-0.16022426090883665</v>
      </c>
      <c r="Q10" s="206"/>
    </row>
    <row r="11" spans="1:17" ht="18" customHeight="1">
      <c r="A11" s="173" t="s">
        <v>191</v>
      </c>
      <c r="B11" s="33" t="s">
        <v>192</v>
      </c>
      <c r="C11" s="34"/>
      <c r="D11" s="34">
        <v>20.068000793457031</v>
      </c>
      <c r="E11" s="34">
        <v>20.596315383911133</v>
      </c>
      <c r="F11" s="34">
        <v>19.11720085144043</v>
      </c>
      <c r="G11" s="34">
        <v>17.955999374389648</v>
      </c>
      <c r="H11" s="34">
        <v>19.497037887573242</v>
      </c>
      <c r="I11" s="34">
        <v>20.92173957824707</v>
      </c>
      <c r="J11" s="34">
        <v>21.491153717041016</v>
      </c>
      <c r="K11" s="34">
        <v>20.733928680419922</v>
      </c>
      <c r="L11" s="34">
        <v>20.861667633056641</v>
      </c>
      <c r="M11" s="34">
        <v>19.970321655273438</v>
      </c>
      <c r="N11" s="34">
        <v>19.956153869628906</v>
      </c>
      <c r="O11" s="28">
        <f t="shared" si="0"/>
        <v>-5.5733964224573664E-3</v>
      </c>
      <c r="P11" s="28">
        <f t="shared" si="1"/>
        <v>-7.1424729803824333E-2</v>
      </c>
      <c r="Q11" s="206"/>
    </row>
    <row r="12" spans="1:17" ht="18" customHeight="1">
      <c r="A12" s="174"/>
      <c r="B12" s="35" t="s">
        <v>184</v>
      </c>
      <c r="C12" s="30"/>
      <c r="D12" s="30">
        <v>304.3599853515625</v>
      </c>
      <c r="E12" s="30">
        <v>312.73684692382813</v>
      </c>
      <c r="F12" s="30">
        <v>272.760009765625</v>
      </c>
      <c r="G12" s="30">
        <v>270.79998779296875</v>
      </c>
      <c r="H12" s="30">
        <v>292.370361328125</v>
      </c>
      <c r="I12" s="30">
        <v>338.39129638671875</v>
      </c>
      <c r="J12" s="30">
        <v>353.07693481445313</v>
      </c>
      <c r="K12" s="30">
        <v>341.71429443359375</v>
      </c>
      <c r="L12" s="30">
        <v>319.29998779296875</v>
      </c>
      <c r="M12" s="30">
        <v>307.09677124023438</v>
      </c>
      <c r="N12" s="30">
        <v>290.07693481445313</v>
      </c>
      <c r="O12" s="28">
        <f t="shared" si="0"/>
        <v>-4.6928148326105347E-2</v>
      </c>
      <c r="P12" s="28">
        <f t="shared" si="1"/>
        <v>-0.1784313666173277</v>
      </c>
      <c r="Q12" s="206"/>
    </row>
    <row r="13" spans="1:17" ht="18" customHeight="1">
      <c r="A13" s="174"/>
      <c r="B13" s="35" t="s">
        <v>185</v>
      </c>
      <c r="C13" s="30"/>
      <c r="D13" s="30">
        <v>113.12000274658203</v>
      </c>
      <c r="E13" s="30">
        <v>122.10526275634766</v>
      </c>
      <c r="F13" s="30">
        <v>104.31999969482422</v>
      </c>
      <c r="G13" s="30">
        <v>95.480003356933594</v>
      </c>
      <c r="H13" s="30">
        <v>113.74073791503906</v>
      </c>
      <c r="I13" s="30">
        <v>131</v>
      </c>
      <c r="J13" s="30">
        <v>134.73077392578125</v>
      </c>
      <c r="K13" s="30">
        <v>125.96428680419922</v>
      </c>
      <c r="L13" s="30">
        <v>127.73332977294922</v>
      </c>
      <c r="M13" s="30">
        <v>117.93548583984375</v>
      </c>
      <c r="N13" s="30">
        <v>120.96154022216797</v>
      </c>
      <c r="O13" s="28">
        <f t="shared" si="0"/>
        <v>6.9320520555087001E-2</v>
      </c>
      <c r="P13" s="28">
        <f t="shared" si="1"/>
        <v>-0.10219813411892296</v>
      </c>
      <c r="Q13" s="206"/>
    </row>
    <row r="14" spans="1:17" ht="18" customHeight="1">
      <c r="A14" s="174"/>
      <c r="B14" s="35" t="s">
        <v>186</v>
      </c>
      <c r="C14" s="30"/>
      <c r="D14" s="30">
        <v>263.41912841796875</v>
      </c>
      <c r="E14" s="30">
        <v>275.09536743164063</v>
      </c>
      <c r="F14" s="30">
        <v>241.85137939453125</v>
      </c>
      <c r="G14" s="30">
        <v>232.74169921875</v>
      </c>
      <c r="H14" s="30">
        <v>254.65318298339844</v>
      </c>
      <c r="I14" s="30">
        <v>284.53952026367188</v>
      </c>
      <c r="J14" s="30">
        <v>296.0699462890625</v>
      </c>
      <c r="K14" s="30">
        <v>284.60134887695313</v>
      </c>
      <c r="L14" s="30">
        <v>275.66714477539063</v>
      </c>
      <c r="M14" s="30">
        <v>262.13739013671875</v>
      </c>
      <c r="N14" s="30">
        <v>254.74957275390625</v>
      </c>
      <c r="O14" s="28">
        <f t="shared" si="0"/>
        <v>-3.2911640533205555E-2</v>
      </c>
      <c r="P14" s="28">
        <f t="shared" si="1"/>
        <v>-0.13956287712773743</v>
      </c>
      <c r="Q14" s="206"/>
    </row>
    <row r="15" spans="1:17" ht="18" customHeight="1">
      <c r="A15" s="174"/>
      <c r="B15" s="35" t="s">
        <v>187</v>
      </c>
      <c r="C15" s="31"/>
      <c r="D15" s="31">
        <v>221.33816528320313</v>
      </c>
      <c r="E15" s="31">
        <v>296.18524169921875</v>
      </c>
      <c r="F15" s="31">
        <v>230.60678100585938</v>
      </c>
      <c r="G15" s="31">
        <v>232.99667358398438</v>
      </c>
      <c r="H15" s="31">
        <v>290.10012817382813</v>
      </c>
      <c r="I15" s="31">
        <v>341.5133056640625</v>
      </c>
      <c r="J15" s="31">
        <v>353.33651733398438</v>
      </c>
      <c r="K15" s="31">
        <v>294.79141235351563</v>
      </c>
      <c r="L15" s="31">
        <v>207.00991821289063</v>
      </c>
      <c r="M15" s="31">
        <v>173.58978271484375</v>
      </c>
      <c r="N15" s="31">
        <v>138.67507934570313</v>
      </c>
      <c r="O15" s="28">
        <f t="shared" si="0"/>
        <v>-0.37346964465767679</v>
      </c>
      <c r="P15" s="28">
        <f t="shared" si="1"/>
        <v>-0.60752689704409113</v>
      </c>
      <c r="Q15" s="206"/>
    </row>
    <row r="16" spans="1:17" ht="18" customHeight="1">
      <c r="A16" s="174"/>
      <c r="B16" s="35" t="s">
        <v>193</v>
      </c>
      <c r="C16" s="31"/>
      <c r="D16" s="31">
        <f ca="1">601.5653125*OFFSET(D$112,MATCH($N$1,$C$112:$C$113,0)-1,0)</f>
        <v>601.5653125</v>
      </c>
      <c r="E16" s="31">
        <f ca="1">802.4803125*OFFSET(E$112,MATCH($N$1,$C$112:$C$113,0)-1,0)</f>
        <v>802.48031249999997</v>
      </c>
      <c r="F16" s="31">
        <f ca="1">695.5063125*OFFSET(F$112,MATCH($N$1,$C$112:$C$113,0)-1,0)</f>
        <v>695.50631250000004</v>
      </c>
      <c r="G16" s="31">
        <f ca="1">800.66475*OFFSET(G$112,MATCH($N$1,$C$112:$C$113,0)-1,0)</f>
        <v>800.66475000000003</v>
      </c>
      <c r="H16" s="31">
        <f ca="1">900.4925*OFFSET(H$112,MATCH($N$1,$C$112:$C$113,0)-1,0)</f>
        <v>900.49249999999995</v>
      </c>
      <c r="I16" s="31">
        <f ca="1">1165.71725*OFFSET(I$112,MATCH($N$1,$C$112:$C$113,0)-1,0)</f>
        <v>1165.7172499999999</v>
      </c>
      <c r="J16" s="31">
        <f ca="1">1089.322375*OFFSET(J$112,MATCH($N$1,$C$112:$C$113,0)-1,0)</f>
        <v>1089.322375</v>
      </c>
      <c r="K16" s="31">
        <f ca="1">731.3131875*OFFSET(K$112,MATCH($N$1,$C$112:$C$113,0)-1,0)</f>
        <v>731.31318750000003</v>
      </c>
      <c r="L16" s="31">
        <f ca="1">530.34625*OFFSET(L$112,MATCH($N$1,$C$112:$C$113,0)-1,0)</f>
        <v>530.34625000000005</v>
      </c>
      <c r="M16" s="31">
        <f ca="1">454.41371875*OFFSET(M$112,MATCH($N$1,$C$112:$C$113,0)-1,0)</f>
        <v>454.41371874999999</v>
      </c>
      <c r="N16" s="31">
        <v>290.14100000000002</v>
      </c>
      <c r="O16" s="28">
        <f t="shared" ca="1" si="0"/>
        <v>-0.51768994326779771</v>
      </c>
      <c r="P16" s="28">
        <f t="shared" ca="1" si="1"/>
        <v>-0.73365001338561497</v>
      </c>
      <c r="Q16" s="206"/>
    </row>
    <row r="17" spans="1:16" ht="18" customHeight="1">
      <c r="A17" s="174"/>
      <c r="B17" s="35" t="s">
        <v>189</v>
      </c>
      <c r="C17" s="30"/>
      <c r="D17" s="30">
        <v>164.80000305175781</v>
      </c>
      <c r="E17" s="30">
        <v>172.15789794921875</v>
      </c>
      <c r="F17" s="30">
        <v>144.44000244140625</v>
      </c>
      <c r="G17" s="30">
        <v>165.1199951171875</v>
      </c>
      <c r="H17" s="30">
        <v>152.62962341308594</v>
      </c>
      <c r="I17" s="30">
        <v>177.2608642578125</v>
      </c>
      <c r="J17" s="30">
        <v>181.19230651855469</v>
      </c>
      <c r="K17" s="30">
        <v>176.25</v>
      </c>
      <c r="L17" s="30">
        <v>180.26666259765625</v>
      </c>
      <c r="M17" s="30">
        <v>162.32258605957031</v>
      </c>
      <c r="N17" s="30">
        <v>146.88461303710938</v>
      </c>
      <c r="O17" s="28">
        <f t="shared" si="0"/>
        <v>-0.10870988885250112</v>
      </c>
      <c r="P17" s="28">
        <f t="shared" si="1"/>
        <v>-0.18934409600846983</v>
      </c>
    </row>
    <row r="18" spans="1:16" ht="18" customHeight="1">
      <c r="A18" s="174"/>
      <c r="B18" s="35" t="s">
        <v>194</v>
      </c>
      <c r="C18" s="30"/>
      <c r="D18" s="30">
        <v>31.399999618530273</v>
      </c>
      <c r="E18" s="30">
        <v>30.578947067260742</v>
      </c>
      <c r="F18" s="30">
        <v>31.440000534057617</v>
      </c>
      <c r="G18" s="30">
        <v>30.879999160766602</v>
      </c>
      <c r="H18" s="30">
        <v>33.925926208496094</v>
      </c>
      <c r="I18" s="30">
        <v>34.434783935546875</v>
      </c>
      <c r="J18" s="30">
        <v>35.423076629638672</v>
      </c>
      <c r="K18" s="30">
        <v>35.535713195800781</v>
      </c>
      <c r="L18" s="30">
        <v>36.966667175292969</v>
      </c>
      <c r="M18" s="30">
        <v>37.903224945068359</v>
      </c>
      <c r="N18" s="30">
        <v>40.769229888916016</v>
      </c>
      <c r="O18" s="28">
        <f t="shared" si="0"/>
        <v>0.29838313325509153</v>
      </c>
      <c r="P18" s="28">
        <f t="shared" si="1"/>
        <v>0.15092289456315011</v>
      </c>
    </row>
    <row r="19" spans="1:16" ht="18" customHeight="1">
      <c r="A19" s="174"/>
      <c r="B19" s="35" t="s">
        <v>195</v>
      </c>
      <c r="C19" s="36"/>
      <c r="D19" s="36">
        <v>1.3430713415145874</v>
      </c>
      <c r="E19" s="36">
        <v>1.7204278707504272</v>
      </c>
      <c r="F19" s="36">
        <v>1.5965576171875</v>
      </c>
      <c r="G19" s="36">
        <v>1.4110748767852783</v>
      </c>
      <c r="H19" s="36">
        <v>1.9006804227828979</v>
      </c>
      <c r="I19" s="36">
        <v>1.9266142845153809</v>
      </c>
      <c r="J19" s="36">
        <v>1.9500635862350464</v>
      </c>
      <c r="K19" s="36">
        <v>1.6725753545761108</v>
      </c>
      <c r="L19" s="36">
        <v>1.1483538150787354</v>
      </c>
      <c r="M19" s="36">
        <v>1.0694123506546021</v>
      </c>
      <c r="N19" s="36">
        <v>0.94410896301269531</v>
      </c>
      <c r="O19" s="28">
        <f t="shared" si="0"/>
        <v>-0.29705226086648567</v>
      </c>
      <c r="P19" s="28">
        <f t="shared" si="1"/>
        <v>-0.51585734451076548</v>
      </c>
    </row>
    <row r="20" spans="1:16" ht="18" customHeight="1">
      <c r="A20" s="175"/>
      <c r="B20" s="37" t="s">
        <v>196</v>
      </c>
      <c r="C20" s="38"/>
      <c r="D20" s="38">
        <f ca="1">2718*OFFSET(D$112,MATCH($N$1,$C$112:$C$113,0)-1,0)</f>
        <v>2718</v>
      </c>
      <c r="E20" s="38">
        <f ca="1">2709*OFFSET(E$112,MATCH($N$1,$C$112:$C$113,0)-1,0)</f>
        <v>2709</v>
      </c>
      <c r="F20" s="38">
        <f ca="1">3016*OFFSET(F$112,MATCH($N$1,$C$112:$C$113,0)-1,0)</f>
        <v>3016</v>
      </c>
      <c r="G20" s="38">
        <f ca="1">3436*OFFSET(G$112,MATCH($N$1,$C$112:$C$113,0)-1,0)</f>
        <v>3436</v>
      </c>
      <c r="H20" s="38">
        <f ca="1">3104*OFFSET(H$112,MATCH($N$1,$C$112:$C$113,0)-1,0)</f>
        <v>3104</v>
      </c>
      <c r="I20" s="38">
        <f ca="1">3413*OFFSET(I$112,MATCH($N$1,$C$112:$C$113,0)-1,0)</f>
        <v>3413</v>
      </c>
      <c r="J20" s="38">
        <f ca="1">3083*OFFSET(J$112,MATCH($N$1,$C$112:$C$113,0)-1,0)</f>
        <v>3083</v>
      </c>
      <c r="K20" s="38">
        <f ca="1">2481*OFFSET(K$112,MATCH($N$1,$C$112:$C$113,0)-1,0)</f>
        <v>2481</v>
      </c>
      <c r="L20" s="38">
        <f ca="1">2562*OFFSET(L$112,MATCH($N$1,$C$112:$C$113,0)-1,0)</f>
        <v>2562</v>
      </c>
      <c r="M20" s="38">
        <f ca="1">2618*OFFSET(M$112,MATCH($N$1,$C$112:$C$113,0)-1,0)</f>
        <v>2618</v>
      </c>
      <c r="N20" s="38">
        <v>2092</v>
      </c>
      <c r="O20" s="32">
        <f t="shared" ca="1" si="0"/>
        <v>-0.23031640912435614</v>
      </c>
      <c r="P20" s="32">
        <f t="shared" ca="1" si="1"/>
        <v>-0.32144015569250728</v>
      </c>
    </row>
    <row r="21" spans="1:16" ht="18" customHeight="1">
      <c r="A21" s="176" t="s">
        <v>197</v>
      </c>
      <c r="B21" s="33" t="s">
        <v>198</v>
      </c>
      <c r="C21" s="39"/>
      <c r="D21" s="39">
        <v>3.6544083775736826</v>
      </c>
      <c r="E21" s="39">
        <v>4.6655023255390384</v>
      </c>
      <c r="F21" s="39">
        <v>4.7045056482036358</v>
      </c>
      <c r="G21" s="39">
        <v>4.3728080618274978</v>
      </c>
      <c r="H21" s="39">
        <v>5.0876642892580186</v>
      </c>
      <c r="I21" s="39">
        <v>4.8498313991493598</v>
      </c>
      <c r="J21" s="39">
        <v>4.8639463318923015</v>
      </c>
      <c r="K21" s="39">
        <v>4.0758221067651004</v>
      </c>
      <c r="L21" s="39">
        <v>2.9088454515240354</v>
      </c>
      <c r="M21" s="39">
        <v>2.7202502329313405</v>
      </c>
      <c r="N21" s="39">
        <v>2.3381308460564778</v>
      </c>
      <c r="O21" s="28">
        <f t="shared" si="0"/>
        <v>-0.36018895413958568</v>
      </c>
      <c r="P21" s="28">
        <f t="shared" si="1"/>
        <v>-0.51929345298782603</v>
      </c>
    </row>
    <row r="22" spans="1:16" ht="18" customHeight="1">
      <c r="A22" s="176"/>
      <c r="B22" s="35" t="s">
        <v>199</v>
      </c>
      <c r="C22" s="36"/>
      <c r="D22" s="36">
        <f ca="1">9.93215659326042*OFFSET(D$112,MATCH($N$1,$C$112:$C$113,0)-1,0)</f>
        <v>9.9321565932604194</v>
      </c>
      <c r="E22" s="36">
        <f ca="1">12.6406492865371*OFFSET(E$112,MATCH($N$1,$C$112:$C$113,0)-1,0)</f>
        <v>12.6406492865371</v>
      </c>
      <c r="F22" s="36">
        <f ca="1">14.188712757039*OFFSET(F$112,MATCH($N$1,$C$112:$C$113,0)-1,0)</f>
        <v>14.188712757038999</v>
      </c>
      <c r="G22" s="36">
        <f ca="1">15.0266234267035*OFFSET(G$112,MATCH($N$1,$C$112:$C$113,0)-1,0)</f>
        <v>15.0266234267035</v>
      </c>
      <c r="H22" s="36">
        <f ca="1">15.7924905577756*OFFSET(H$112,MATCH($N$1,$C$112:$C$113,0)-1,0)</f>
        <v>15.792490557775601</v>
      </c>
      <c r="I22" s="36">
        <f ca="1">16.5543538943144*OFFSET(I$112,MATCH($N$1,$C$112:$C$113,0)-1,0)</f>
        <v>16.554353894314399</v>
      </c>
      <c r="J22" s="36">
        <f ca="1">14.9953523346732*OFFSET(J$112,MATCH($N$1,$C$112:$C$113,0)-1,0)</f>
        <v>14.9953523346732</v>
      </c>
      <c r="K22" s="36">
        <f ca="1">10.111225536675*OFFSET(K$112,MATCH($N$1,$C$112:$C$113,0)-1,0)</f>
        <v>10.111225536675001</v>
      </c>
      <c r="L22" s="36">
        <f ca="1">7.45227711968278*OFFSET(L$112,MATCH($N$1,$C$112:$C$113,0)-1,0)</f>
        <v>7.4522771196827797</v>
      </c>
      <c r="M22" s="36">
        <f ca="1">7.12092039603194*OFFSET(M$112,MATCH($N$1,$C$112:$C$113,0)-1,0)</f>
        <v>7.1209203960319396</v>
      </c>
      <c r="N22" s="36">
        <v>4.8919216416276203</v>
      </c>
      <c r="O22" s="28">
        <f t="shared" ca="1" si="0"/>
        <v>-0.50746631955570543</v>
      </c>
      <c r="P22" s="28">
        <f t="shared" ca="1" si="1"/>
        <v>-0.6737708102852501</v>
      </c>
    </row>
    <row r="23" spans="1:16" ht="18" customHeight="1">
      <c r="A23" s="176"/>
      <c r="B23" s="35" t="s">
        <v>154</v>
      </c>
      <c r="C23" s="36"/>
      <c r="D23" s="36">
        <f ca="1">9.96828198357139*OFFSET(D$112,MATCH($N$1,$C$112:$C$113,0)-1,0)</f>
        <v>9.9682819835713907</v>
      </c>
      <c r="E23" s="36">
        <f ca="1">11.4360016203613*OFFSET(E$112,MATCH($N$1,$C$112:$C$113,0)-1,0)</f>
        <v>11.436001620361299</v>
      </c>
      <c r="F23" s="36">
        <f ca="1">16.0667960295425*OFFSET(F$112,MATCH($N$1,$C$112:$C$113,0)-1,0)</f>
        <v>16.066796029542498</v>
      </c>
      <c r="G23" s="36">
        <f ca="1">13.3352576319229*OFFSET(G$112,MATCH($N$1,$C$112:$C$113,0)-1,0)</f>
        <v>13.3352576319229</v>
      </c>
      <c r="H23" s="36">
        <f ca="1">13.7826761214962*OFFSET(H$112,MATCH($N$1,$C$112:$C$113,0)-1,0)</f>
        <v>13.7826761214962</v>
      </c>
      <c r="I23" s="36">
        <f ca="1">11.6971617090929*OFFSET(I$112,MATCH($N$1,$C$112:$C$113,0)-1,0)</f>
        <v>11.697161709092899</v>
      </c>
      <c r="J23" s="36">
        <f ca="1">10.5545750751309*OFFSET(J$112,MATCH($N$1,$C$112:$C$113,0)-1,0)</f>
        <v>10.5545750751309</v>
      </c>
      <c r="K23" s="36">
        <f ca="1">8.83684836837715*OFFSET(K$112,MATCH($N$1,$C$112:$C$113,0)-1,0)</f>
        <v>8.8368483683771508</v>
      </c>
      <c r="L23" s="36">
        <f ca="1">6.45804618103336*OFFSET(L$112,MATCH($N$1,$C$112:$C$113,0)-1,0)</f>
        <v>6.4580461810333603</v>
      </c>
      <c r="M23" s="36">
        <f ca="1">6.28115490728381*OFFSET(M$112,MATCH($N$1,$C$112:$C$113,0)-1,0)</f>
        <v>6.2811549072838098</v>
      </c>
      <c r="N23" s="36">
        <v>5.391404926650579</v>
      </c>
      <c r="O23" s="28">
        <f t="shared" ca="1" si="0"/>
        <v>-0.45914401944727379</v>
      </c>
      <c r="P23" s="28">
        <f t="shared" ca="1" si="1"/>
        <v>-0.48918787461619212</v>
      </c>
    </row>
    <row r="24" spans="1:16" ht="18" customHeight="1">
      <c r="A24" s="176"/>
      <c r="B24" s="35" t="s">
        <v>155</v>
      </c>
      <c r="C24" s="36"/>
      <c r="D24" s="36">
        <f ca="1">0.0719487461194633*OFFSET(D$112,MATCH($N$1,$C$112:$C$113,0)-1,0)</f>
        <v>7.1948746119463294E-2</v>
      </c>
      <c r="E24" s="36">
        <f ca="1">1.29737161694816*OFFSET(E$112,MATCH($N$1,$C$112:$C$113,0)-1,0)</f>
        <v>1.2973716169481599</v>
      </c>
      <c r="F24" s="36">
        <f ca="1">-1.04513367142998*OFFSET(F$112,MATCH($N$1,$C$112:$C$113,0)-1,0)</f>
        <v>-1.0451336714299799</v>
      </c>
      <c r="G24" s="36">
        <f ca="1">2.22187787105252*OFFSET(G$112,MATCH($N$1,$C$112:$C$113,0)-1,0)</f>
        <v>2.22187787105252</v>
      </c>
      <c r="H24" s="36">
        <f ca="1">2.09324544248087*OFFSET(H$112,MATCH($N$1,$C$112:$C$113,0)-1,0)</f>
        <v>2.0932454424808702</v>
      </c>
      <c r="I24" s="36">
        <f ca="1">4.89237903186439*OFFSET(I$112,MATCH($N$1,$C$112:$C$113,0)-1,0)</f>
        <v>4.8923790318643903</v>
      </c>
      <c r="J24" s="36">
        <f ca="1">4.47851508727493*OFFSET(J$112,MATCH($N$1,$C$112:$C$113,0)-1,0)</f>
        <v>4.4785150872749302</v>
      </c>
      <c r="K24" s="36">
        <f ca="1">1.35067874378446*OFFSET(K$112,MATCH($N$1,$C$112:$C$113,0)-1,0)</f>
        <v>1.3506787437844601</v>
      </c>
      <c r="L24" s="36">
        <f ca="1">1.01877770892191*OFFSET(L$112,MATCH($N$1,$C$112:$C$113,0)-1,0)</f>
        <v>1.0187777089219101</v>
      </c>
      <c r="M24" s="36">
        <f ca="1">0.97206837827205*OFFSET(M$112,MATCH($N$1,$C$112:$C$113,0)-1,0)</f>
        <v>0.97206837827204995</v>
      </c>
      <c r="N24" s="36">
        <v>-0.35989575207007063</v>
      </c>
      <c r="O24" s="28">
        <f t="shared" ca="1" si="0"/>
        <v>-6.0021129134412119</v>
      </c>
      <c r="P24" s="28">
        <f t="shared" ca="1" si="1"/>
        <v>-1.0803605090206494</v>
      </c>
    </row>
    <row r="25" spans="1:16" ht="18" customHeight="1">
      <c r="A25" s="176"/>
      <c r="B25" s="35" t="s">
        <v>200</v>
      </c>
      <c r="C25" s="31"/>
      <c r="D25" s="31">
        <f ca="1">78.01*OFFSET(D$112,MATCH($N$1,$C$112:$C$113,0)-1,0)</f>
        <v>78.010000000000005</v>
      </c>
      <c r="E25" s="31">
        <f ca="1">81.08*OFFSET(E$112,MATCH($N$1,$C$112:$C$113,0)-1,0)</f>
        <v>81.08</v>
      </c>
      <c r="F25" s="31">
        <f ca="1">92.27*OFFSET(F$112,MATCH($N$1,$C$112:$C$113,0)-1,0)</f>
        <v>92.27</v>
      </c>
      <c r="G25" s="31">
        <f ca="1">115.82*OFFSET(G$112,MATCH($N$1,$C$112:$C$113,0)-1,0)</f>
        <v>115.82</v>
      </c>
      <c r="H25" s="31">
        <f ca="1">115.54*OFFSET(H$112,MATCH($N$1,$C$112:$C$113,0)-1,0)</f>
        <v>115.54</v>
      </c>
      <c r="I25" s="31">
        <f ca="1">115.11*OFFSET(I$112,MATCH($N$1,$C$112:$C$113,0)-1,0)</f>
        <v>115.11</v>
      </c>
      <c r="J25" s="31">
        <f ca="1">112.37*OFFSET(J$112,MATCH($N$1,$C$112:$C$113,0)-1,0)</f>
        <v>112.37</v>
      </c>
      <c r="K25" s="31">
        <f ca="1">74.12*OFFSET(K$112,MATCH($N$1,$C$112:$C$113,0)-1,0)</f>
        <v>74.12</v>
      </c>
      <c r="L25" s="31">
        <f ca="1">80.28*OFFSET(L$112,MATCH($N$1,$C$112:$C$113,0)-1,0)</f>
        <v>80.28</v>
      </c>
      <c r="M25" s="31">
        <f ca="1">51.98*OFFSET(M$112,MATCH($N$1,$C$112:$C$113,0)-1,0)</f>
        <v>51.98</v>
      </c>
      <c r="N25" s="31">
        <v>35.630000000000003</v>
      </c>
      <c r="O25" s="28">
        <f t="shared" ca="1" si="0"/>
        <v>-0.54326368414305859</v>
      </c>
      <c r="P25" s="28">
        <f t="shared" ca="1" si="1"/>
        <v>-0.68292248820859669</v>
      </c>
    </row>
    <row r="26" spans="1:16" ht="18" customHeight="1">
      <c r="A26" s="177"/>
      <c r="B26" s="35" t="s">
        <v>201</v>
      </c>
      <c r="C26" s="31"/>
      <c r="D26" s="31">
        <f ca="1">0.57*OFFSET(D$112,MATCH($N$1,$C$112:$C$113,0)-1,0)</f>
        <v>0.56999999999999995</v>
      </c>
      <c r="E26" s="31">
        <f ca="1">8.33*OFFSET(E$112,MATCH($N$1,$C$112:$C$113,0)-1,0)</f>
        <v>8.33</v>
      </c>
      <c r="F26" s="31">
        <f ca="1">-6.79*OFFSET(F$112,MATCH($N$1,$C$112:$C$113,0)-1,0)</f>
        <v>-6.79</v>
      </c>
      <c r="G26" s="31">
        <f ca="1">17.13*OFFSET(G$112,MATCH($N$1,$C$112:$C$113,0)-1,0)</f>
        <v>17.13</v>
      </c>
      <c r="H26" s="31">
        <f ca="1">15.32*OFFSET(H$112,MATCH($N$1,$C$112:$C$113,0)-1,0)</f>
        <v>15.32</v>
      </c>
      <c r="I26" s="31">
        <f ca="1">34.02*OFFSET(I$112,MATCH($N$1,$C$112:$C$113,0)-1,0)</f>
        <v>34.020000000000003</v>
      </c>
      <c r="J26" s="31">
        <f ca="1">33.56*OFFSET(J$112,MATCH($N$1,$C$112:$C$113,0)-1,0)</f>
        <v>33.56</v>
      </c>
      <c r="K26" s="31">
        <f ca="1">9.9*OFFSET(K$112,MATCH($N$1,$C$112:$C$113,0)-1,0)</f>
        <v>9.9</v>
      </c>
      <c r="L26" s="31">
        <f ca="1">10.98*OFFSET(L$112,MATCH($N$1,$C$112:$C$113,0)-1,0)</f>
        <v>10.98</v>
      </c>
      <c r="M26" s="31">
        <f ca="1">7.09*OFFSET(M$112,MATCH($N$1,$C$112:$C$113,0)-1,0)</f>
        <v>7.09</v>
      </c>
      <c r="N26" s="31">
        <v>-2.62</v>
      </c>
      <c r="O26" s="32">
        <f t="shared" ca="1" si="0"/>
        <v>-5.5964912280701755</v>
      </c>
      <c r="P26" s="32">
        <f t="shared" ca="1" si="1"/>
        <v>-1.0780691299165672</v>
      </c>
    </row>
    <row r="27" spans="1:16" ht="18" customHeight="1">
      <c r="A27" s="166" t="s">
        <v>202</v>
      </c>
      <c r="B27" s="33" t="s">
        <v>193</v>
      </c>
      <c r="C27" s="34"/>
      <c r="D27" s="34">
        <f ca="1">601.6*OFFSET(D$112,MATCH($N$1,$C$112:$C$113,0)-1,0)</f>
        <v>601.6</v>
      </c>
      <c r="E27" s="34">
        <f ca="1">802.5*OFFSET(E$112,MATCH($N$1,$C$112:$C$113,0)-1,0)</f>
        <v>802.5</v>
      </c>
      <c r="F27" s="34">
        <f ca="1">695.5*OFFSET(F$112,MATCH($N$1,$C$112:$C$113,0)-1,0)</f>
        <v>695.5</v>
      </c>
      <c r="G27" s="34">
        <f ca="1">800.7*OFFSET(G$112,MATCH($N$1,$C$112:$C$113,0)-1,0)</f>
        <v>800.7</v>
      </c>
      <c r="H27" s="34">
        <f ca="1">900.5*OFFSET(H$112,MATCH($N$1,$C$112:$C$113,0)-1,0)</f>
        <v>900.5</v>
      </c>
      <c r="I27" s="34">
        <f ca="1">1165.7*OFFSET(I$112,MATCH($N$1,$C$112:$C$113,0)-1,0)</f>
        <v>1165.7</v>
      </c>
      <c r="J27" s="34">
        <f ca="1">1089.3*OFFSET(J$112,MATCH($N$1,$C$112:$C$113,0)-1,0)</f>
        <v>1089.3</v>
      </c>
      <c r="K27" s="34">
        <f ca="1">731.3*OFFSET(K$112,MATCH($N$1,$C$112:$C$113,0)-1,0)</f>
        <v>731.3</v>
      </c>
      <c r="L27" s="34">
        <f ca="1">530.3*OFFSET(L$112,MATCH($N$1,$C$112:$C$113,0)-1,0)</f>
        <v>530.29999999999995</v>
      </c>
      <c r="M27" s="34">
        <f ca="1">454.4*OFFSET(M$112,MATCH($N$1,$C$112:$C$113,0)-1,0)</f>
        <v>454.4</v>
      </c>
      <c r="N27" s="34">
        <v>290.10000000000002</v>
      </c>
      <c r="O27" s="28">
        <f t="shared" ca="1" si="0"/>
        <v>-0.51778590425531912</v>
      </c>
      <c r="P27" s="28">
        <f t="shared" ca="1" si="1"/>
        <v>-0.73368218121729545</v>
      </c>
    </row>
    <row r="28" spans="1:16" ht="18" customHeight="1">
      <c r="A28" s="178"/>
      <c r="B28" s="35" t="s">
        <v>203</v>
      </c>
      <c r="C28" s="31"/>
      <c r="D28" s="31">
        <f ca="1">6.5*OFFSET(D$112,MATCH($N$1,$C$112:$C$113,0)-1,0)</f>
        <v>6.5</v>
      </c>
      <c r="E28" s="31">
        <f ca="1">5.9*OFFSET(E$112,MATCH($N$1,$C$112:$C$113,0)-1,0)</f>
        <v>5.9</v>
      </c>
      <c r="F28" s="31">
        <f ca="1">40.8*OFFSET(F$112,MATCH($N$1,$C$112:$C$113,0)-1,0)</f>
        <v>40.799999999999997</v>
      </c>
      <c r="G28" s="31">
        <f ca="1">28.3*OFFSET(G$112,MATCH($N$1,$C$112:$C$113,0)-1,0)</f>
        <v>28.3</v>
      </c>
      <c r="H28" s="31">
        <f ca="1">4.8*OFFSET(H$112,MATCH($N$1,$C$112:$C$113,0)-1,0)</f>
        <v>4.8</v>
      </c>
      <c r="I28" s="31">
        <f ca="1">2.5*OFFSET(I$112,MATCH($N$1,$C$112:$C$113,0)-1,0)</f>
        <v>2.5</v>
      </c>
      <c r="J28" s="31">
        <f ca="1">2.7*OFFSET(J$112,MATCH($N$1,$C$112:$C$113,0)-1,0)</f>
        <v>2.7</v>
      </c>
      <c r="K28" s="31">
        <f ca="1">5.5*OFFSET(K$112,MATCH($N$1,$C$112:$C$113,0)-1,0)</f>
        <v>5.5</v>
      </c>
      <c r="L28" s="31">
        <f ca="1">1.7*OFFSET(L$112,MATCH($N$1,$C$112:$C$113,0)-1,0)</f>
        <v>1.7</v>
      </c>
      <c r="M28" s="31">
        <f ca="1">8.4*OFFSET(M$112,MATCH($N$1,$C$112:$C$113,0)-1,0)</f>
        <v>8.4</v>
      </c>
      <c r="N28" s="31">
        <v>8.3000000000000007</v>
      </c>
      <c r="O28" s="28">
        <f t="shared" ca="1" si="0"/>
        <v>0.27692307692307705</v>
      </c>
      <c r="P28" s="28">
        <f t="shared" ca="1" si="1"/>
        <v>2.074074074074074</v>
      </c>
    </row>
    <row r="29" spans="1:16" ht="18" customHeight="1">
      <c r="A29" s="178"/>
      <c r="B29" s="40" t="s">
        <v>204</v>
      </c>
      <c r="C29" s="41"/>
      <c r="D29" s="41">
        <f ca="1">608.1*OFFSET(D$112,MATCH($N$1,$C$112:$C$113,0)-1,0)</f>
        <v>608.1</v>
      </c>
      <c r="E29" s="41">
        <f ca="1">808.4*OFFSET(E$112,MATCH($N$1,$C$112:$C$113,0)-1,0)</f>
        <v>808.4</v>
      </c>
      <c r="F29" s="41">
        <f ca="1">736.3*OFFSET(F$112,MATCH($N$1,$C$112:$C$113,0)-1,0)</f>
        <v>736.3</v>
      </c>
      <c r="G29" s="41">
        <f ca="1">828.9*OFFSET(G$112,MATCH($N$1,$C$112:$C$113,0)-1,0)</f>
        <v>828.9</v>
      </c>
      <c r="H29" s="41">
        <f ca="1">905.2*OFFSET(H$112,MATCH($N$1,$C$112:$C$113,0)-1,0)</f>
        <v>905.2</v>
      </c>
      <c r="I29" s="41">
        <f ca="1">1168.2*OFFSET(I$112,MATCH($N$1,$C$112:$C$113,0)-1,0)</f>
        <v>1168.2</v>
      </c>
      <c r="J29" s="41">
        <f ca="1">1092.1*OFFSET(J$112,MATCH($N$1,$C$112:$C$113,0)-1,0)</f>
        <v>1092.0999999999999</v>
      </c>
      <c r="K29" s="41">
        <f ca="1">736.8*OFFSET(K$112,MATCH($N$1,$C$112:$C$113,0)-1,0)</f>
        <v>736.8</v>
      </c>
      <c r="L29" s="41">
        <f ca="1">532.1*OFFSET(L$112,MATCH($N$1,$C$112:$C$113,0)-1,0)</f>
        <v>532.1</v>
      </c>
      <c r="M29" s="41">
        <f ca="1">462.9*OFFSET(M$112,MATCH($N$1,$C$112:$C$113,0)-1,0)</f>
        <v>462.9</v>
      </c>
      <c r="N29" s="41">
        <v>298.40000000000003</v>
      </c>
      <c r="O29" s="28">
        <f t="shared" ca="1" si="0"/>
        <v>-0.50929123499424434</v>
      </c>
      <c r="P29" s="28">
        <f t="shared" ca="1" si="1"/>
        <v>-0.72676494826481086</v>
      </c>
    </row>
    <row r="30" spans="1:16" ht="18" customHeight="1">
      <c r="A30" s="178"/>
      <c r="B30" s="35" t="s">
        <v>205</v>
      </c>
      <c r="C30" s="31"/>
      <c r="D30" s="31">
        <f ca="1">106.7*OFFSET(D$112,MATCH($N$1,$C$112:$C$113,0)-1,0)</f>
        <v>106.7</v>
      </c>
      <c r="E30" s="31">
        <f ca="1">148.6*OFFSET(E$112,MATCH($N$1,$C$112:$C$113,0)-1,0)</f>
        <v>148.6</v>
      </c>
      <c r="F30" s="31">
        <f ca="1">120.1*OFFSET(F$112,MATCH($N$1,$C$112:$C$113,0)-1,0)</f>
        <v>120.1</v>
      </c>
      <c r="G30" s="31">
        <f ca="1">127.2*OFFSET(G$112,MATCH($N$1,$C$112:$C$113,0)-1,0)</f>
        <v>127.2</v>
      </c>
      <c r="H30" s="31">
        <f ca="1">114*OFFSET(H$112,MATCH($N$1,$C$112:$C$113,0)-1,0)</f>
        <v>114</v>
      </c>
      <c r="I30" s="31">
        <f ca="1">93.1*OFFSET(I$112,MATCH($N$1,$C$112:$C$113,0)-1,0)</f>
        <v>93.1</v>
      </c>
      <c r="J30" s="31">
        <f ca="1">91.3*OFFSET(J$112,MATCH($N$1,$C$112:$C$113,0)-1,0)</f>
        <v>91.3</v>
      </c>
      <c r="K30" s="31">
        <f ca="1">107.7*OFFSET(K$112,MATCH($N$1,$C$112:$C$113,0)-1,0)</f>
        <v>107.7</v>
      </c>
      <c r="L30" s="31">
        <f ca="1">129.5*OFFSET(L$112,MATCH($N$1,$C$112:$C$113,0)-1,0)</f>
        <v>129.5</v>
      </c>
      <c r="M30" s="31">
        <f ca="1">112.1*OFFSET(M$112,MATCH($N$1,$C$112:$C$113,0)-1,0)</f>
        <v>112.1</v>
      </c>
      <c r="N30" s="31">
        <v>77.5</v>
      </c>
      <c r="O30" s="28">
        <f t="shared" ca="1" si="0"/>
        <v>-0.27366447985004688</v>
      </c>
      <c r="P30" s="28">
        <f t="shared" ca="1" si="1"/>
        <v>-0.15115005476451257</v>
      </c>
    </row>
    <row r="31" spans="1:16" ht="18" customHeight="1">
      <c r="A31" s="178"/>
      <c r="B31" s="35" t="s">
        <v>206</v>
      </c>
      <c r="C31" s="31"/>
      <c r="D31" s="31">
        <f ca="1">250.5*OFFSET(D$112,MATCH($N$1,$C$112:$C$113,0)-1,0)</f>
        <v>250.5</v>
      </c>
      <c r="E31" s="31">
        <f ca="1">95.4*OFFSET(E$112,MATCH($N$1,$C$112:$C$113,0)-1,0)</f>
        <v>95.4</v>
      </c>
      <c r="F31" s="31">
        <f ca="1">231.7*OFFSET(F$112,MATCH($N$1,$C$112:$C$113,0)-1,0)</f>
        <v>231.7</v>
      </c>
      <c r="G31" s="31">
        <f ca="1">113.9*OFFSET(G$112,MATCH($N$1,$C$112:$C$113,0)-1,0)</f>
        <v>113.9</v>
      </c>
      <c r="H31" s="31">
        <f ca="1">125.5*OFFSET(H$112,MATCH($N$1,$C$112:$C$113,0)-1,0)</f>
        <v>125.5</v>
      </c>
      <c r="I31" s="31">
        <f ca="1">141.9*OFFSET(I$112,MATCH($N$1,$C$112:$C$113,0)-1,0)</f>
        <v>141.9</v>
      </c>
      <c r="J31" s="31">
        <f ca="1">123.7*OFFSET(J$112,MATCH($N$1,$C$112:$C$113,0)-1,0)</f>
        <v>123.7</v>
      </c>
      <c r="K31" s="31">
        <f ca="1">86.3*OFFSET(K$112,MATCH($N$1,$C$112:$C$113,0)-1,0)</f>
        <v>86.3</v>
      </c>
      <c r="L31" s="31">
        <f ca="1">132.4*OFFSET(L$112,MATCH($N$1,$C$112:$C$113,0)-1,0)</f>
        <v>132.4</v>
      </c>
      <c r="M31" s="31">
        <f ca="1">118.2*OFFSET(M$112,MATCH($N$1,$C$112:$C$113,0)-1,0)</f>
        <v>118.2</v>
      </c>
      <c r="N31" s="31">
        <v>24.3</v>
      </c>
      <c r="O31" s="28">
        <f t="shared" ca="1" si="0"/>
        <v>-0.90299401197604789</v>
      </c>
      <c r="P31" s="28">
        <f t="shared" ca="1" si="1"/>
        <v>-0.80355699272433312</v>
      </c>
    </row>
    <row r="32" spans="1:16" ht="18" customHeight="1">
      <c r="A32" s="178"/>
      <c r="B32" s="35" t="s">
        <v>207</v>
      </c>
      <c r="C32" s="31"/>
      <c r="D32" s="31">
        <f ca="1">146.9*OFFSET(D$112,MATCH($N$1,$C$112:$C$113,0)-1,0)</f>
        <v>146.9</v>
      </c>
      <c r="E32" s="31">
        <f ca="1">341*OFFSET(E$112,MATCH($N$1,$C$112:$C$113,0)-1,0)</f>
        <v>341</v>
      </c>
      <c r="F32" s="31">
        <f ca="1">244.9*OFFSET(F$112,MATCH($N$1,$C$112:$C$113,0)-1,0)</f>
        <v>244.9</v>
      </c>
      <c r="G32" s="31">
        <f ca="1">191*OFFSET(G$112,MATCH($N$1,$C$112:$C$113,0)-1,0)</f>
        <v>191</v>
      </c>
      <c r="H32" s="31">
        <f ca="1">190.1*OFFSET(H$112,MATCH($N$1,$C$112:$C$113,0)-1,0)</f>
        <v>190.1</v>
      </c>
      <c r="I32" s="31">
        <f ca="1">450.4*OFFSET(I$112,MATCH($N$1,$C$112:$C$113,0)-1,0)</f>
        <v>450.4</v>
      </c>
      <c r="J32" s="31">
        <f ca="1">433.7*OFFSET(J$112,MATCH($N$1,$C$112:$C$113,0)-1,0)</f>
        <v>433.7</v>
      </c>
      <c r="K32" s="31">
        <f ca="1">320.6*OFFSET(K$112,MATCH($N$1,$C$112:$C$113,0)-1,0)</f>
        <v>320.60000000000002</v>
      </c>
      <c r="L32" s="31">
        <f ca="1">89.9*OFFSET(L$112,MATCH($N$1,$C$112:$C$113,0)-1,0)</f>
        <v>89.9</v>
      </c>
      <c r="M32" s="31">
        <f ca="1">81.7*OFFSET(M$112,MATCH($N$1,$C$112:$C$113,0)-1,0)</f>
        <v>81.7</v>
      </c>
      <c r="N32" s="31">
        <v>127.2</v>
      </c>
      <c r="O32" s="28">
        <f t="shared" ca="1" si="0"/>
        <v>-0.13410483321987748</v>
      </c>
      <c r="P32" s="28">
        <f t="shared" ca="1" si="1"/>
        <v>-0.70670970717085546</v>
      </c>
    </row>
    <row r="33" spans="1:16" ht="18" customHeight="1">
      <c r="A33" s="178"/>
      <c r="B33" s="35" t="s">
        <v>208</v>
      </c>
      <c r="C33" s="31"/>
      <c r="D33" s="31">
        <f ca="1">504.1*OFFSET(D$112,MATCH($N$1,$C$112:$C$113,0)-1,0)</f>
        <v>504.1</v>
      </c>
      <c r="E33" s="31">
        <f ca="1">585.1*OFFSET(E$112,MATCH($N$1,$C$112:$C$113,0)-1,0)</f>
        <v>585.1</v>
      </c>
      <c r="F33" s="31">
        <f ca="1">596.7*OFFSET(F$112,MATCH($N$1,$C$112:$C$113,0)-1,0)</f>
        <v>596.70000000000005</v>
      </c>
      <c r="G33" s="31">
        <f ca="1">432.1*OFFSET(G$112,MATCH($N$1,$C$112:$C$113,0)-1,0)</f>
        <v>432.1</v>
      </c>
      <c r="H33" s="31">
        <f ca="1">429.6*OFFSET(H$112,MATCH($N$1,$C$112:$C$113,0)-1,0)</f>
        <v>429.6</v>
      </c>
      <c r="I33" s="31">
        <f ca="1">685.3*OFFSET(I$112,MATCH($N$1,$C$112:$C$113,0)-1,0)</f>
        <v>685.3</v>
      </c>
      <c r="J33" s="31">
        <f ca="1">648.8*OFFSET(J$112,MATCH($N$1,$C$112:$C$113,0)-1,0)</f>
        <v>648.79999999999995</v>
      </c>
      <c r="K33" s="31">
        <f ca="1">514.6*OFFSET(K$112,MATCH($N$1,$C$112:$C$113,0)-1,0)</f>
        <v>514.6</v>
      </c>
      <c r="L33" s="31">
        <f ca="1">351.8*OFFSET(L$112,MATCH($N$1,$C$112:$C$113,0)-1,0)</f>
        <v>351.8</v>
      </c>
      <c r="M33" s="31">
        <f ca="1">312.1*OFFSET(M$112,MATCH($N$1,$C$112:$C$113,0)-1,0)</f>
        <v>312.10000000000002</v>
      </c>
      <c r="N33" s="31">
        <v>229</v>
      </c>
      <c r="O33" s="28">
        <f t="shared" ca="1" si="0"/>
        <v>-0.54572505455266818</v>
      </c>
      <c r="P33" s="28">
        <f t="shared" ca="1" si="1"/>
        <v>-0.64704069050554869</v>
      </c>
    </row>
    <row r="34" spans="1:16" ht="18" customHeight="1">
      <c r="A34" s="178"/>
      <c r="B34" s="35" t="s">
        <v>209</v>
      </c>
      <c r="C34" s="31"/>
      <c r="D34" s="31">
        <f ca="1">99.7*OFFSET(D$112,MATCH($N$1,$C$112:$C$113,0)-1,0)</f>
        <v>99.7</v>
      </c>
      <c r="E34" s="31">
        <f ca="1">140.9*OFFSET(E$112,MATCH($N$1,$C$112:$C$113,0)-1,0)</f>
        <v>140.9</v>
      </c>
      <c r="F34" s="31">
        <f ca="1">190.8*OFFSET(F$112,MATCH($N$1,$C$112:$C$113,0)-1,0)</f>
        <v>190.8</v>
      </c>
      <c r="G34" s="31">
        <f ca="1">278.5*OFFSET(G$112,MATCH($N$1,$C$112:$C$113,0)-1,0)</f>
        <v>278.5</v>
      </c>
      <c r="H34" s="31">
        <f ca="1">356.3*OFFSET(H$112,MATCH($N$1,$C$112:$C$113,0)-1,0)</f>
        <v>356.3</v>
      </c>
      <c r="I34" s="31">
        <f ca="1">138.4*OFFSET(I$112,MATCH($N$1,$C$112:$C$113,0)-1,0)</f>
        <v>138.4</v>
      </c>
      <c r="J34" s="31">
        <f ca="1">117.9*OFFSET(J$112,MATCH($N$1,$C$112:$C$113,0)-1,0)</f>
        <v>117.9</v>
      </c>
      <c r="K34" s="31">
        <f ca="1">124.6*OFFSET(K$112,MATCH($N$1,$C$112:$C$113,0)-1,0)</f>
        <v>124.6</v>
      </c>
      <c r="L34" s="31">
        <f ca="1">107.8*OFFSET(L$112,MATCH($N$1,$C$112:$C$113,0)-1,0)</f>
        <v>107.8</v>
      </c>
      <c r="M34" s="31">
        <f ca="1">88.8*OFFSET(M$112,MATCH($N$1,$C$112:$C$113,0)-1,0)</f>
        <v>88.8</v>
      </c>
      <c r="N34" s="31">
        <v>90.8</v>
      </c>
      <c r="O34" s="28">
        <f t="shared" ca="1" si="0"/>
        <v>-8.9267803410230745E-2</v>
      </c>
      <c r="P34" s="28">
        <f t="shared" ca="1" si="1"/>
        <v>-0.22985581000848182</v>
      </c>
    </row>
    <row r="35" spans="1:16" ht="18" customHeight="1">
      <c r="A35" s="178"/>
      <c r="B35" s="35" t="s">
        <v>210</v>
      </c>
      <c r="C35" s="31"/>
      <c r="D35" s="31">
        <f ca="1">603.8*OFFSET(D$112,MATCH($N$1,$C$112:$C$113,0)-1,0)</f>
        <v>603.79999999999995</v>
      </c>
      <c r="E35" s="31">
        <f ca="1">726*OFFSET(E$112,MATCH($N$1,$C$112:$C$113,0)-1,0)</f>
        <v>726</v>
      </c>
      <c r="F35" s="31">
        <f ca="1">787.6*OFFSET(F$112,MATCH($N$1,$C$112:$C$113,0)-1,0)</f>
        <v>787.6</v>
      </c>
      <c r="G35" s="31">
        <f ca="1">710.5*OFFSET(G$112,MATCH($N$1,$C$112:$C$113,0)-1,0)</f>
        <v>710.5</v>
      </c>
      <c r="H35" s="31">
        <f ca="1">785.9*OFFSET(H$112,MATCH($N$1,$C$112:$C$113,0)-1,0)</f>
        <v>785.9</v>
      </c>
      <c r="I35" s="31">
        <f ca="1">823.7*OFFSET(I$112,MATCH($N$1,$C$112:$C$113,0)-1,0)</f>
        <v>823.7</v>
      </c>
      <c r="J35" s="31">
        <f ca="1">766.7*OFFSET(J$112,MATCH($N$1,$C$112:$C$113,0)-1,0)</f>
        <v>766.7</v>
      </c>
      <c r="K35" s="31">
        <f ca="1">639.1*OFFSET(K$112,MATCH($N$1,$C$112:$C$113,0)-1,0)</f>
        <v>639.1</v>
      </c>
      <c r="L35" s="31">
        <f ca="1">459.6*OFFSET(L$112,MATCH($N$1,$C$112:$C$113,0)-1,0)</f>
        <v>459.6</v>
      </c>
      <c r="M35" s="31">
        <f ca="1">400.8*OFFSET(M$112,MATCH($N$1,$C$112:$C$113,0)-1,0)</f>
        <v>400.8</v>
      </c>
      <c r="N35" s="31">
        <v>319.8</v>
      </c>
      <c r="O35" s="28">
        <f t="shared" ca="1" si="0"/>
        <v>-0.47035442199403771</v>
      </c>
      <c r="P35" s="28">
        <f t="shared" ca="1" si="1"/>
        <v>-0.58288770053475936</v>
      </c>
    </row>
    <row r="36" spans="1:16" ht="18" customHeight="1">
      <c r="A36" s="178"/>
      <c r="B36" s="40" t="s">
        <v>211</v>
      </c>
      <c r="C36" s="41"/>
      <c r="D36" s="41">
        <f ca="1">254.9*OFFSET(D$112,MATCH($N$1,$C$112:$C$113,0)-1,0)</f>
        <v>254.9</v>
      </c>
      <c r="E36" s="41">
        <f ca="1">177.8*OFFSET(E$112,MATCH($N$1,$C$112:$C$113,0)-1,0)</f>
        <v>177.8</v>
      </c>
      <c r="F36" s="41">
        <f ca="1">180.5*OFFSET(F$112,MATCH($N$1,$C$112:$C$113,0)-1,0)</f>
        <v>180.5</v>
      </c>
      <c r="G36" s="41">
        <f ca="1">232.3*OFFSET(G$112,MATCH($N$1,$C$112:$C$113,0)-1,0)</f>
        <v>232.3</v>
      </c>
      <c r="H36" s="41">
        <f ca="1">244.9*OFFSET(H$112,MATCH($N$1,$C$112:$C$113,0)-1,0)</f>
        <v>244.9</v>
      </c>
      <c r="I36" s="41">
        <f ca="1">486.4*OFFSET(I$112,MATCH($N$1,$C$112:$C$113,0)-1,0)</f>
        <v>486.4</v>
      </c>
      <c r="J36" s="41">
        <f ca="1">449*OFFSET(J$112,MATCH($N$1,$C$112:$C$113,0)-1,0)</f>
        <v>449</v>
      </c>
      <c r="K36" s="41">
        <f ca="1">184*OFFSET(K$112,MATCH($N$1,$C$112:$C$113,0)-1,0)</f>
        <v>184</v>
      </c>
      <c r="L36" s="41">
        <f ca="1">204.9*OFFSET(L$112,MATCH($N$1,$C$112:$C$113,0)-1,0)</f>
        <v>204.9</v>
      </c>
      <c r="M36" s="41">
        <f ca="1">180.2*OFFSET(M$112,MATCH($N$1,$C$112:$C$113,0)-1,0)</f>
        <v>180.2</v>
      </c>
      <c r="N36" s="41">
        <v>3</v>
      </c>
      <c r="O36" s="28">
        <f t="shared" ca="1" si="0"/>
        <v>-0.98823067869752845</v>
      </c>
      <c r="P36" s="28">
        <f t="shared" ca="1" si="1"/>
        <v>-0.99331848552338531</v>
      </c>
    </row>
    <row r="37" spans="1:16" ht="18" customHeight="1">
      <c r="A37" s="178"/>
      <c r="B37" s="40" t="s">
        <v>212</v>
      </c>
      <c r="C37" s="41"/>
      <c r="D37" s="41">
        <f ca="1">4.4*OFFSET(D$112,MATCH($N$1,$C$112:$C$113,0)-1,0)</f>
        <v>4.4000000000000004</v>
      </c>
      <c r="E37" s="41">
        <f ca="1">82.4*OFFSET(E$112,MATCH($N$1,$C$112:$C$113,0)-1,0)</f>
        <v>82.4</v>
      </c>
      <c r="F37" s="41">
        <f ca="1">-51.2*OFFSET(F$112,MATCH($N$1,$C$112:$C$113,0)-1,0)</f>
        <v>-51.2</v>
      </c>
      <c r="G37" s="41">
        <f ca="1">118.4*OFFSET(G$112,MATCH($N$1,$C$112:$C$113,0)-1,0)</f>
        <v>118.4</v>
      </c>
      <c r="H37" s="41">
        <f ca="1">119.4*OFFSET(H$112,MATCH($N$1,$C$112:$C$113,0)-1,0)</f>
        <v>119.4</v>
      </c>
      <c r="I37" s="41">
        <f ca="1">344.5*OFFSET(I$112,MATCH($N$1,$C$112:$C$113,0)-1,0)</f>
        <v>344.5</v>
      </c>
      <c r="J37" s="41">
        <f ca="1">325.3*OFFSET(J$112,MATCH($N$1,$C$112:$C$113,0)-1,0)</f>
        <v>325.3</v>
      </c>
      <c r="K37" s="41">
        <f ca="1">97.7*OFFSET(K$112,MATCH($N$1,$C$112:$C$113,0)-1,0)</f>
        <v>97.7</v>
      </c>
      <c r="L37" s="41">
        <f ca="1">72.5*OFFSET(L$112,MATCH($N$1,$C$112:$C$113,0)-1,0)</f>
        <v>72.5</v>
      </c>
      <c r="M37" s="41">
        <f ca="1">62*OFFSET(M$112,MATCH($N$1,$C$112:$C$113,0)-1,0)</f>
        <v>62</v>
      </c>
      <c r="N37" s="41">
        <v>-21.3</v>
      </c>
      <c r="O37" s="28">
        <f t="shared" ca="1" si="0"/>
        <v>-5.8409090909090908</v>
      </c>
      <c r="P37" s="28">
        <f t="shared" ca="1" si="1"/>
        <v>-1.065478020288964</v>
      </c>
    </row>
    <row r="38" spans="1:16" ht="18" customHeight="1">
      <c r="A38" s="178"/>
      <c r="B38" s="35" t="s">
        <v>213</v>
      </c>
      <c r="C38" s="31"/>
      <c r="D38" s="31">
        <f ca="1">12.9*OFFSET(D$112,MATCH($N$1,$C$112:$C$113,0)-1,0)</f>
        <v>12.9</v>
      </c>
      <c r="E38" s="31"/>
      <c r="F38" s="31">
        <f ca="1">5.8*OFFSET(F$112,MATCH($N$1,$C$112:$C$113,0)-1,0)</f>
        <v>5.8</v>
      </c>
      <c r="G38" s="31">
        <f ca="1">53*OFFSET(G$112,MATCH($N$1,$C$112:$C$113,0)-1,0)</f>
        <v>53</v>
      </c>
      <c r="H38" s="31">
        <f ca="1">54.9*OFFSET(H$112,MATCH($N$1,$C$112:$C$113,0)-1,0)</f>
        <v>54.9</v>
      </c>
      <c r="I38" s="31">
        <f ca="1">53.2*OFFSET(I$112,MATCH($N$1,$C$112:$C$113,0)-1,0)</f>
        <v>53.2</v>
      </c>
      <c r="J38" s="31">
        <f ca="1">46.7*OFFSET(J$112,MATCH($N$1,$C$112:$C$113,0)-1,0)</f>
        <v>46.7</v>
      </c>
      <c r="K38" s="31">
        <f ca="1">37.6*OFFSET(K$112,MATCH($N$1,$C$112:$C$113,0)-1,0)</f>
        <v>37.6</v>
      </c>
      <c r="L38" s="31">
        <f ca="1">32.1*OFFSET(L$112,MATCH($N$1,$C$112:$C$113,0)-1,0)</f>
        <v>32.1</v>
      </c>
      <c r="M38" s="31">
        <f ca="1">61.1*OFFSET(M$112,MATCH($N$1,$C$112:$C$113,0)-1,0)</f>
        <v>61.1</v>
      </c>
      <c r="N38" s="31"/>
      <c r="O38" s="28" t="str">
        <f t="shared" si="0"/>
        <v/>
      </c>
      <c r="P38" s="28" t="str">
        <f t="shared" si="1"/>
        <v/>
      </c>
    </row>
    <row r="39" spans="1:16" ht="18" customHeight="1">
      <c r="A39" s="178"/>
      <c r="B39" s="35" t="s">
        <v>214</v>
      </c>
      <c r="C39" s="31"/>
      <c r="D39" s="31">
        <f ca="1">7.3*OFFSET(D$112,MATCH($N$1,$C$112:$C$113,0)-1,0)</f>
        <v>7.3</v>
      </c>
      <c r="E39" s="31"/>
      <c r="F39" s="31"/>
      <c r="G39" s="31">
        <f ca="1">3.8*OFFSET(G$112,MATCH($N$1,$C$112:$C$113,0)-1,0)</f>
        <v>3.8</v>
      </c>
      <c r="H39" s="31">
        <f ca="1">3.4*OFFSET(H$112,MATCH($N$1,$C$112:$C$113,0)-1,0)</f>
        <v>3.4</v>
      </c>
      <c r="I39" s="31">
        <f ca="1">3.4*OFFSET(I$112,MATCH($N$1,$C$112:$C$113,0)-1,0)</f>
        <v>3.4</v>
      </c>
      <c r="J39" s="31">
        <f ca="1">0.9*OFFSET(J$112,MATCH($N$1,$C$112:$C$113,0)-1,0)</f>
        <v>0.9</v>
      </c>
      <c r="K39" s="31">
        <f ca="1">1.1*OFFSET(K$112,MATCH($N$1,$C$112:$C$113,0)-1,0)</f>
        <v>1.1000000000000001</v>
      </c>
      <c r="L39" s="31">
        <f ca="1">1.5*OFFSET(L$112,MATCH($N$1,$C$112:$C$113,0)-1,0)</f>
        <v>1.5</v>
      </c>
      <c r="M39" s="31">
        <f ca="1">0.3*OFFSET(M$112,MATCH($N$1,$C$112:$C$113,0)-1,0)</f>
        <v>0.3</v>
      </c>
      <c r="N39" s="31"/>
      <c r="O39" s="28" t="str">
        <f t="shared" si="0"/>
        <v/>
      </c>
      <c r="P39" s="28" t="str">
        <f t="shared" si="1"/>
        <v/>
      </c>
    </row>
    <row r="40" spans="1:16" ht="18" customHeight="1">
      <c r="A40" s="178"/>
      <c r="B40" s="35" t="s">
        <v>215</v>
      </c>
      <c r="C40" s="31"/>
      <c r="D40" s="31">
        <f ca="1">0.4*OFFSET(D$112,MATCH($N$1,$C$112:$C$113,0)-1,0)</f>
        <v>0.4</v>
      </c>
      <c r="E40" s="31"/>
      <c r="F40" s="31">
        <f ca="1">1.1*OFFSET(F$112,MATCH($N$1,$C$112:$C$113,0)-1,0)</f>
        <v>1.1000000000000001</v>
      </c>
      <c r="G40" s="31">
        <f ca="1">2.3*OFFSET(G$112,MATCH($N$1,$C$112:$C$113,0)-1,0)</f>
        <v>2.2999999999999998</v>
      </c>
      <c r="H40" s="31">
        <f ca="1">1.9*OFFSET(H$112,MATCH($N$1,$C$112:$C$113,0)-1,0)</f>
        <v>1.9</v>
      </c>
      <c r="I40" s="31">
        <f ca="1">1.1*OFFSET(I$112,MATCH($N$1,$C$112:$C$113,0)-1,0)</f>
        <v>1.1000000000000001</v>
      </c>
      <c r="J40" s="31">
        <f ca="1">3*OFFSET(J$112,MATCH($N$1,$C$112:$C$113,0)-1,0)</f>
        <v>3</v>
      </c>
      <c r="K40" s="31">
        <f ca="1">0.8*OFFSET(K$112,MATCH($N$1,$C$112:$C$113,0)-1,0)</f>
        <v>0.8</v>
      </c>
      <c r="L40" s="31">
        <f ca="1">0.4*OFFSET(L$112,MATCH($N$1,$C$112:$C$113,0)-1,0)</f>
        <v>0.4</v>
      </c>
      <c r="M40" s="31">
        <f ca="1">2.4*OFFSET(M$112,MATCH($N$1,$C$112:$C$113,0)-1,0)</f>
        <v>2.4</v>
      </c>
      <c r="N40" s="31"/>
      <c r="O40" s="28" t="str">
        <f t="shared" si="0"/>
        <v/>
      </c>
      <c r="P40" s="28" t="str">
        <f t="shared" si="1"/>
        <v/>
      </c>
    </row>
    <row r="41" spans="1:16" ht="18" customHeight="1" thickBot="1">
      <c r="A41" s="179"/>
      <c r="B41" s="42" t="s">
        <v>216</v>
      </c>
      <c r="C41" s="43"/>
      <c r="D41" s="43">
        <f ca="1">-16.2*OFFSET(D$112,MATCH($N$1,$C$112:$C$113,0)-1,0)</f>
        <v>-16.2</v>
      </c>
      <c r="E41" s="43"/>
      <c r="F41" s="43">
        <f ca="1">-58.1*OFFSET(F$112,MATCH($N$1,$C$112:$C$113,0)-1,0)</f>
        <v>-58.1</v>
      </c>
      <c r="G41" s="43">
        <f ca="1">59.3*OFFSET(G$112,MATCH($N$1,$C$112:$C$113,0)-1,0)</f>
        <v>59.3</v>
      </c>
      <c r="H41" s="43">
        <f ca="1">59.2*OFFSET(H$112,MATCH($N$1,$C$112:$C$113,0)-1,0)</f>
        <v>59.2</v>
      </c>
      <c r="I41" s="43">
        <f ca="1">286.7*OFFSET(I$112,MATCH($N$1,$C$112:$C$113,0)-1,0)</f>
        <v>286.7</v>
      </c>
      <c r="J41" s="43">
        <f ca="1">274.8*OFFSET(J$112,MATCH($N$1,$C$112:$C$113,0)-1,0)</f>
        <v>274.8</v>
      </c>
      <c r="K41" s="43">
        <f ca="1">58.2*OFFSET(K$112,MATCH($N$1,$C$112:$C$113,0)-1,0)</f>
        <v>58.2</v>
      </c>
      <c r="L41" s="43">
        <f ca="1">38.4*OFFSET(L$112,MATCH($N$1,$C$112:$C$113,0)-1,0)</f>
        <v>38.4</v>
      </c>
      <c r="M41" s="43">
        <f ca="1">-1.7*OFFSET(M$112,MATCH($N$1,$C$112:$C$113,0)-1,0)</f>
        <v>-1.7</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163</v>
      </c>
      <c r="F46" s="90" t="s">
        <v>158</v>
      </c>
      <c r="G46" s="90" t="s">
        <v>163</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Longliners</v>
      </c>
      <c r="B48" s="202"/>
      <c r="C48" s="92"/>
      <c r="D48" s="92"/>
      <c r="E48" s="92"/>
      <c r="F48" s="92"/>
      <c r="G48" s="92"/>
      <c r="H48" s="202"/>
      <c r="I48" s="202"/>
      <c r="J48" s="202"/>
      <c r="K48" s="92" t="str">
        <f>$B24&amp;CHAR(10)&amp;$A$1</f>
        <v>Operating profit per kW day at sea (£)
Longliners</v>
      </c>
      <c r="L48" s="202"/>
      <c r="M48" s="202"/>
      <c r="N48" s="202"/>
      <c r="O48" s="202"/>
      <c r="P48" s="202"/>
    </row>
    <row r="49" spans="1:11" s="80" customFormat="1">
      <c r="A49" s="92" t="str">
        <f>$B22&amp;CHAR(10)&amp;$A$1</f>
        <v>Fishing income per kW day at sea (£)
Longliners</v>
      </c>
      <c r="B49" s="202"/>
      <c r="C49" s="202"/>
      <c r="D49" s="202"/>
      <c r="E49" s="202"/>
      <c r="F49" s="202"/>
      <c r="G49" s="202"/>
      <c r="H49" s="202"/>
      <c r="I49" s="202"/>
      <c r="J49" s="202"/>
      <c r="K49" s="202"/>
    </row>
    <row r="50" spans="1:11" s="80" customFormat="1">
      <c r="A50" s="92" t="str">
        <f>$B20&amp;CHAR(10)&amp;$A$1</f>
        <v>Average price per tonne landed (£)
Longliners</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Longliners</v>
      </c>
      <c r="C62" s="202"/>
      <c r="D62" s="202"/>
      <c r="E62" s="202"/>
      <c r="F62" s="92" t="str">
        <f>$B20&amp;CHAR(10)&amp;$A$1</f>
        <v>Average price per tonne landed (£)
Longliners</v>
      </c>
      <c r="G62" s="202"/>
      <c r="H62" s="202"/>
      <c r="I62" s="202"/>
      <c r="J62" s="202"/>
      <c r="K62" s="92" t="str">
        <f>"Average annual operating profit per vessel (£'000)"&amp;CHAR(10)&amp;$A$1</f>
        <v>Average annual operating profit per vessel (£'000)
Longliners</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Longliners</v>
      </c>
      <c r="F76" s="92" t="str">
        <f>"Top 5 landed species by value in "&amp;A77&amp;CHAR(10)&amp;A1</f>
        <v>Top 5 landed species by value in 2019
Longliners</v>
      </c>
    </row>
    <row r="77" spans="1:11" s="92" customFormat="1">
      <c r="A77" s="92">
        <v>2019</v>
      </c>
      <c r="B77" s="92" t="s">
        <v>349</v>
      </c>
      <c r="C77" s="93">
        <v>0.58277545990248136</v>
      </c>
      <c r="D77" s="94">
        <v>12153634</v>
      </c>
      <c r="G77" s="92" t="s">
        <v>350</v>
      </c>
      <c r="H77" s="93">
        <v>0.55061638620132158</v>
      </c>
      <c r="I77" s="94">
        <v>12153634</v>
      </c>
      <c r="K77" s="92" t="s">
        <v>230</v>
      </c>
    </row>
    <row r="78" spans="1:11" s="92" customFormat="1">
      <c r="B78" s="92" t="s">
        <v>351</v>
      </c>
      <c r="C78" s="93">
        <v>0.29271838727055011</v>
      </c>
      <c r="D78" s="94">
        <v>3050596</v>
      </c>
      <c r="G78" s="92" t="s">
        <v>352</v>
      </c>
      <c r="H78" s="93">
        <v>0.19672692190637039</v>
      </c>
      <c r="I78" s="94">
        <v>553960</v>
      </c>
    </row>
    <row r="79" spans="1:11" s="92" customFormat="1">
      <c r="B79" s="92" t="s">
        <v>353</v>
      </c>
      <c r="C79" s="93">
        <v>6.2809719224500349E-2</v>
      </c>
      <c r="D79" s="94">
        <v>553960</v>
      </c>
      <c r="G79" s="92" t="s">
        <v>354</v>
      </c>
      <c r="H79" s="93">
        <v>0.18017282030369411</v>
      </c>
      <c r="I79" s="94">
        <v>3050596</v>
      </c>
    </row>
    <row r="80" spans="1:11" s="92" customFormat="1">
      <c r="B80" s="92" t="s">
        <v>355</v>
      </c>
      <c r="C80" s="93">
        <v>3.1377681061266587E-2</v>
      </c>
      <c r="D80" s="94">
        <v>1692097</v>
      </c>
      <c r="G80" s="92" t="s">
        <v>356</v>
      </c>
      <c r="H80" s="93">
        <v>4.6580204638053548E-2</v>
      </c>
      <c r="I80" s="94">
        <v>1692097</v>
      </c>
    </row>
    <row r="81" spans="1:19" s="92" customFormat="1">
      <c r="B81" s="92" t="s">
        <v>357</v>
      </c>
      <c r="C81" s="93">
        <v>8.3251325564708198E-3</v>
      </c>
      <c r="D81" s="94">
        <v>11115023</v>
      </c>
      <c r="G81" s="92" t="s">
        <v>358</v>
      </c>
      <c r="H81" s="93">
        <v>6.4338396994395508E-3</v>
      </c>
      <c r="I81" s="94">
        <v>3689192</v>
      </c>
    </row>
    <row r="82" spans="1:19" s="92" customFormat="1">
      <c r="B82" s="92" t="s">
        <v>359</v>
      </c>
      <c r="C82" s="93">
        <v>2.1993619984730706E-2</v>
      </c>
      <c r="D82" s="94">
        <v>5920853</v>
      </c>
      <c r="G82" s="92" t="s">
        <v>360</v>
      </c>
      <c r="H82" s="93">
        <v>1.9469827251120786E-2</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165</v>
      </c>
      <c r="D92" s="98">
        <v>0.67004622072472697</v>
      </c>
      <c r="E92" s="98">
        <v>0.71833552528345601</v>
      </c>
      <c r="F92" s="98">
        <v>0.77251713704878411</v>
      </c>
      <c r="G92" s="98">
        <v>0.82886590506460256</v>
      </c>
      <c r="H92" s="98">
        <v>0.85433518841478073</v>
      </c>
      <c r="I92" s="98">
        <v>0.85288649757478618</v>
      </c>
      <c r="J92" s="98">
        <v>0.79342718085751596</v>
      </c>
      <c r="K92" s="98">
        <v>0.62623878460077564</v>
      </c>
      <c r="L92" s="98">
        <v>0.55061638620132158</v>
      </c>
      <c r="M92" s="98">
        <v>0.57856889475223316</v>
      </c>
      <c r="O92" s="92">
        <v>12153634</v>
      </c>
    </row>
    <row r="93" spans="1:19" s="92" customFormat="1" hidden="1">
      <c r="B93" s="92">
        <v>2</v>
      </c>
      <c r="C93" s="92" t="s">
        <v>173</v>
      </c>
      <c r="D93" s="98">
        <v>7.4561598130492596E-2</v>
      </c>
      <c r="E93" s="98">
        <v>7.2430259777672673E-2</v>
      </c>
      <c r="F93" s="98">
        <v>4.8218504913571207E-2</v>
      </c>
      <c r="G93" s="98">
        <v>2.773072738886798E-2</v>
      </c>
      <c r="H93" s="98">
        <v>1.0827484286813585E-2</v>
      </c>
      <c r="I93" s="98">
        <v>6.1800891198100748E-3</v>
      </c>
      <c r="J93" s="98">
        <v>4.1713843991407706E-2</v>
      </c>
      <c r="K93" s="98">
        <v>0.15464122720560539</v>
      </c>
      <c r="L93" s="98">
        <v>0.19672692190637039</v>
      </c>
      <c r="M93" s="98">
        <v>0.13586653359255302</v>
      </c>
      <c r="O93" s="92">
        <v>553960</v>
      </c>
    </row>
    <row r="94" spans="1:19" s="92" customFormat="1" hidden="1">
      <c r="B94" s="92">
        <v>3</v>
      </c>
      <c r="C94" s="92" t="s">
        <v>343</v>
      </c>
      <c r="D94" s="98">
        <v>0.14564332778014563</v>
      </c>
      <c r="E94" s="98">
        <v>0.1449734939832229</v>
      </c>
      <c r="F94" s="98">
        <v>9.8627719267732006E-2</v>
      </c>
      <c r="G94" s="98">
        <v>8.4828384703029266E-2</v>
      </c>
      <c r="H94" s="98">
        <v>8.6959471584404952E-2</v>
      </c>
      <c r="I94" s="98">
        <v>8.5779842221989241E-2</v>
      </c>
      <c r="J94" s="98">
        <v>0.10895526301548693</v>
      </c>
      <c r="K94" s="98">
        <v>0.13563223483278045</v>
      </c>
      <c r="L94" s="98">
        <v>0.18017282030369411</v>
      </c>
      <c r="M94" s="98">
        <v>0.20755226967895982</v>
      </c>
      <c r="O94" s="92">
        <v>3050596</v>
      </c>
    </row>
    <row r="95" spans="1:19" s="92" customFormat="1" hidden="1">
      <c r="B95" s="92">
        <v>4</v>
      </c>
      <c r="C95" s="92" t="s">
        <v>172</v>
      </c>
      <c r="D95" s="98">
        <v>2.0072938505101501E-2</v>
      </c>
      <c r="E95" s="98">
        <v>2.3877009852350396E-2</v>
      </c>
      <c r="F95" s="98">
        <v>2.5070644811656256E-2</v>
      </c>
      <c r="G95" s="98">
        <v>2.3096498326687028E-2</v>
      </c>
      <c r="H95" s="98">
        <v>2.8381553718189002E-2</v>
      </c>
      <c r="I95" s="98">
        <v>3.6748776407222246E-2</v>
      </c>
      <c r="J95" s="98">
        <v>3.7127212273361167E-2</v>
      </c>
      <c r="K95" s="98">
        <v>4.5565192425725265E-2</v>
      </c>
      <c r="L95" s="98">
        <v>4.6580204638053548E-2</v>
      </c>
      <c r="M95" s="98">
        <v>5.280193840766545E-2</v>
      </c>
      <c r="O95" s="92">
        <v>1692097</v>
      </c>
    </row>
    <row r="96" spans="1:19" s="92" customFormat="1" hidden="1">
      <c r="B96" s="92">
        <v>5</v>
      </c>
      <c r="C96" s="92" t="s">
        <v>242</v>
      </c>
      <c r="D96" s="98"/>
      <c r="E96" s="98"/>
      <c r="F96" s="98"/>
      <c r="G96" s="98"/>
      <c r="H96" s="98"/>
      <c r="I96" s="98"/>
      <c r="J96" s="98"/>
      <c r="K96" s="98"/>
      <c r="L96" s="98">
        <v>6.4338396994395508E-3</v>
      </c>
      <c r="M96" s="98">
        <v>1.175157451628956E-2</v>
      </c>
      <c r="O96" s="92">
        <v>3689192</v>
      </c>
    </row>
    <row r="97" spans="1:15" s="92" customFormat="1" hidden="1">
      <c r="B97" s="92">
        <v>6</v>
      </c>
      <c r="C97" s="92" t="s">
        <v>161</v>
      </c>
      <c r="D97" s="98"/>
      <c r="E97" s="98"/>
      <c r="F97" s="98"/>
      <c r="G97" s="98">
        <v>9.9895653939406012E-3</v>
      </c>
      <c r="H97" s="98"/>
      <c r="I97" s="98"/>
      <c r="J97" s="98"/>
      <c r="K97" s="98">
        <v>1.5393710909801709E-2</v>
      </c>
      <c r="L97" s="98"/>
      <c r="M97" s="98"/>
      <c r="O97" s="92">
        <v>11115023</v>
      </c>
    </row>
    <row r="98" spans="1:15" s="92" customFormat="1" hidden="1">
      <c r="B98" s="92">
        <v>7</v>
      </c>
      <c r="C98" s="92" t="s">
        <v>361</v>
      </c>
      <c r="D98" s="98"/>
      <c r="E98" s="98"/>
      <c r="F98" s="98"/>
      <c r="G98" s="98"/>
      <c r="H98" s="98"/>
      <c r="I98" s="98"/>
      <c r="J98" s="98">
        <v>6.4617531661846908E-3</v>
      </c>
      <c r="K98" s="98"/>
      <c r="L98" s="98"/>
      <c r="M98" s="98"/>
      <c r="O98" s="92">
        <v>2480382</v>
      </c>
    </row>
    <row r="99" spans="1:15" s="92" customFormat="1" hidden="1">
      <c r="B99" s="92">
        <v>8</v>
      </c>
      <c r="C99" s="92" t="s">
        <v>362</v>
      </c>
      <c r="D99" s="98"/>
      <c r="E99" s="98"/>
      <c r="F99" s="98"/>
      <c r="G99" s="98"/>
      <c r="H99" s="98">
        <v>4.866216476330832E-3</v>
      </c>
      <c r="I99" s="98">
        <v>5.9369859819705705E-3</v>
      </c>
      <c r="J99" s="98"/>
      <c r="K99" s="98"/>
      <c r="L99" s="98"/>
      <c r="M99" s="98"/>
      <c r="O99" s="92">
        <v>7434864</v>
      </c>
    </row>
    <row r="100" spans="1:15" s="92" customFormat="1" hidden="1">
      <c r="B100" s="92">
        <v>9</v>
      </c>
      <c r="C100" s="92" t="s">
        <v>363</v>
      </c>
      <c r="D100" s="98"/>
      <c r="E100" s="98"/>
      <c r="F100" s="98">
        <v>1.9595248431234748E-2</v>
      </c>
      <c r="G100" s="98"/>
      <c r="H100" s="98"/>
      <c r="I100" s="98"/>
      <c r="J100" s="98"/>
      <c r="K100" s="98"/>
      <c r="L100" s="98"/>
      <c r="M100" s="98"/>
      <c r="O100" s="92">
        <v>8497745</v>
      </c>
    </row>
    <row r="101" spans="1:15" s="92" customFormat="1" hidden="1">
      <c r="B101" s="92">
        <v>10</v>
      </c>
      <c r="C101" s="92" t="s">
        <v>364</v>
      </c>
      <c r="D101" s="98">
        <v>2.3323891040311212E-2</v>
      </c>
      <c r="E101" s="98">
        <v>1.7117804714606163E-2</v>
      </c>
      <c r="F101" s="98"/>
      <c r="G101" s="98"/>
      <c r="H101" s="98"/>
      <c r="I101" s="98"/>
      <c r="J101" s="98"/>
      <c r="K101" s="98"/>
      <c r="L101" s="98"/>
      <c r="M101" s="98"/>
      <c r="O101" s="92">
        <v>14393110</v>
      </c>
    </row>
    <row r="102" spans="1:15" s="92" customFormat="1" hidden="1">
      <c r="B102" s="92">
        <v>11</v>
      </c>
      <c r="C102" s="92" t="s">
        <v>245</v>
      </c>
      <c r="D102" s="98">
        <v>6.6352023819222047E-2</v>
      </c>
      <c r="E102" s="98">
        <v>2.3265906388691814E-2</v>
      </c>
      <c r="F102" s="98">
        <v>3.5970745527021696E-2</v>
      </c>
      <c r="G102" s="98">
        <v>2.5488919122872579E-2</v>
      </c>
      <c r="H102" s="98">
        <v>1.4630085519480931E-2</v>
      </c>
      <c r="I102" s="98">
        <v>1.2467808694221654E-2</v>
      </c>
      <c r="J102" s="98">
        <v>1.231474669604357E-2</v>
      </c>
      <c r="K102" s="98">
        <v>2.2528850025311527E-2</v>
      </c>
      <c r="L102" s="98">
        <v>1.9469827251120838E-2</v>
      </c>
      <c r="M102" s="98">
        <v>1.3458789052298975E-2</v>
      </c>
      <c r="O102" s="92">
        <v>5920853</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12</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8</v>
      </c>
      <c r="D120" s="54">
        <v>15</v>
      </c>
      <c r="E120" s="54">
        <v>8</v>
      </c>
      <c r="F120" s="55">
        <v>31</v>
      </c>
    </row>
    <row r="121" spans="1:15" ht="18" customHeight="1">
      <c r="A121" s="173" t="s">
        <v>191</v>
      </c>
      <c r="B121" s="33" t="s">
        <v>192</v>
      </c>
      <c r="C121" s="56">
        <v>11.104999542236328</v>
      </c>
      <c r="D121" s="56">
        <v>27.771333058675129</v>
      </c>
      <c r="E121" s="56">
        <v>14.208749771118164</v>
      </c>
      <c r="F121" s="57">
        <v>19.970321655273438</v>
      </c>
      <c r="G121" s="206"/>
      <c r="H121" s="206"/>
      <c r="I121" s="206"/>
      <c r="J121" s="206"/>
      <c r="K121" s="206"/>
      <c r="L121" s="206"/>
      <c r="M121" s="206"/>
      <c r="N121" s="206"/>
      <c r="O121" s="206"/>
    </row>
    <row r="122" spans="1:15" ht="18" customHeight="1">
      <c r="A122" s="174"/>
      <c r="B122" s="35" t="s">
        <v>184</v>
      </c>
      <c r="C122" s="58">
        <v>139.875</v>
      </c>
      <c r="D122" s="58">
        <v>449.93333129882814</v>
      </c>
      <c r="E122" s="58">
        <v>206.5</v>
      </c>
      <c r="F122" s="59">
        <v>307.09677124023438</v>
      </c>
      <c r="G122" s="206"/>
      <c r="H122" s="206"/>
      <c r="I122" s="206"/>
      <c r="J122" s="206"/>
      <c r="K122" s="206"/>
      <c r="L122" s="206"/>
      <c r="M122" s="206"/>
      <c r="N122" s="206"/>
      <c r="O122" s="206"/>
    </row>
    <row r="123" spans="1:15" ht="18" customHeight="1">
      <c r="A123" s="174"/>
      <c r="B123" s="35" t="s">
        <v>185</v>
      </c>
      <c r="C123" s="58">
        <v>15.625</v>
      </c>
      <c r="D123" s="58">
        <v>213.46666564941407</v>
      </c>
      <c r="E123" s="58">
        <v>41.125</v>
      </c>
      <c r="F123" s="59">
        <v>117.93548583984375</v>
      </c>
      <c r="G123" s="206"/>
      <c r="H123" s="206"/>
      <c r="I123" s="206"/>
      <c r="J123" s="206"/>
      <c r="K123" s="206"/>
      <c r="L123" s="206"/>
      <c r="M123" s="206"/>
      <c r="N123" s="206"/>
      <c r="O123" s="206"/>
    </row>
    <row r="124" spans="1:15" ht="18" customHeight="1">
      <c r="A124" s="174"/>
      <c r="B124" s="35" t="s">
        <v>186</v>
      </c>
      <c r="C124" s="58">
        <v>110.35772705078125</v>
      </c>
      <c r="D124" s="58">
        <v>396.35775146484377</v>
      </c>
      <c r="E124" s="58">
        <v>162.25387573242188</v>
      </c>
      <c r="F124" s="59">
        <v>262.13739013671875</v>
      </c>
      <c r="G124" s="206"/>
      <c r="H124" s="206"/>
      <c r="I124" s="206"/>
      <c r="J124" s="206"/>
      <c r="K124" s="206"/>
      <c r="L124" s="206"/>
      <c r="M124" s="206"/>
      <c r="N124" s="206"/>
      <c r="O124" s="206"/>
    </row>
    <row r="125" spans="1:15" ht="18" customHeight="1">
      <c r="A125" s="174"/>
      <c r="B125" s="35" t="s">
        <v>187</v>
      </c>
      <c r="C125" s="31">
        <v>40.821598052978516</v>
      </c>
      <c r="D125" s="31">
        <v>305.74966023763022</v>
      </c>
      <c r="E125" s="31">
        <v>58.558223724365234</v>
      </c>
      <c r="F125" s="60">
        <v>173.58978271484375</v>
      </c>
      <c r="G125" s="206"/>
      <c r="H125" s="206"/>
      <c r="I125" s="206"/>
      <c r="J125" s="206"/>
      <c r="K125" s="206"/>
      <c r="L125" s="206"/>
      <c r="M125" s="206"/>
      <c r="N125" s="206"/>
      <c r="O125" s="206"/>
    </row>
    <row r="126" spans="1:15" ht="18" customHeight="1">
      <c r="A126" s="174"/>
      <c r="B126" s="35" t="s">
        <v>193</v>
      </c>
      <c r="C126" s="31">
        <f ca="1">332.0965*OFFSET($L$112,MATCH($N$1,$C$112:$C$113,0)-1,0)</f>
        <v>332.09649999999999</v>
      </c>
      <c r="D126" s="31">
        <f ca="1">680.449716666667*OFFSET($L$112,MATCH($N$1,$C$112:$C$113,0)-1,0)</f>
        <v>680.44971666666697</v>
      </c>
      <c r="E126" s="31">
        <f ca="1">152.913484375*OFFSET($L$112,MATCH($N$1,$C$112:$C$113,0)-1,0)</f>
        <v>152.913484375</v>
      </c>
      <c r="F126" s="60">
        <f ca="1">454.41371875*OFFSET($L$112,MATCH($N$1,$C$112:$C$113,0)-1,0)</f>
        <v>454.41371874999999</v>
      </c>
      <c r="G126" s="206"/>
      <c r="H126" s="206"/>
      <c r="I126" s="206"/>
      <c r="J126" s="206"/>
      <c r="K126" s="206"/>
      <c r="L126" s="206"/>
      <c r="M126" s="206"/>
      <c r="N126" s="206"/>
      <c r="O126" s="206"/>
    </row>
    <row r="127" spans="1:15" ht="18" customHeight="1">
      <c r="A127" s="174"/>
      <c r="B127" s="35" t="s">
        <v>189</v>
      </c>
      <c r="C127" s="58">
        <v>94.125</v>
      </c>
      <c r="D127" s="58">
        <v>212.26666971842448</v>
      </c>
      <c r="E127" s="58">
        <v>136.875</v>
      </c>
      <c r="F127" s="59">
        <v>162.32258605957031</v>
      </c>
      <c r="G127" s="206"/>
      <c r="H127" s="206"/>
      <c r="I127" s="206"/>
      <c r="J127" s="206"/>
      <c r="K127" s="206"/>
      <c r="L127" s="206"/>
      <c r="M127" s="206"/>
      <c r="N127" s="206"/>
      <c r="O127" s="206"/>
    </row>
    <row r="128" spans="1:15" ht="18" customHeight="1">
      <c r="A128" s="174"/>
      <c r="B128" s="35" t="s">
        <v>194</v>
      </c>
      <c r="C128" s="58">
        <v>32.625</v>
      </c>
      <c r="D128" s="58">
        <v>41.00000025431315</v>
      </c>
      <c r="E128" s="58">
        <v>37.375</v>
      </c>
      <c r="F128" s="59">
        <v>37.903224945068359</v>
      </c>
      <c r="G128" s="206"/>
      <c r="H128" s="206"/>
      <c r="I128" s="206"/>
      <c r="J128" s="206"/>
      <c r="K128" s="206"/>
      <c r="L128" s="206"/>
      <c r="M128" s="206"/>
      <c r="N128" s="206"/>
      <c r="O128" s="206"/>
    </row>
    <row r="129" spans="1:15" ht="18" customHeight="1">
      <c r="A129" s="174"/>
      <c r="B129" s="35" t="s">
        <v>195</v>
      </c>
      <c r="C129" s="61">
        <v>0.43369558453559875</v>
      </c>
      <c r="D129" s="61">
        <v>1.4404035294057829</v>
      </c>
      <c r="E129" s="61">
        <v>0.42782264947891235</v>
      </c>
      <c r="F129" s="62">
        <v>1.0694123506546021</v>
      </c>
      <c r="G129" s="206"/>
      <c r="H129" s="206"/>
      <c r="I129" s="206"/>
      <c r="J129" s="206"/>
      <c r="K129" s="206"/>
      <c r="L129" s="206"/>
      <c r="M129" s="206"/>
      <c r="N129" s="206"/>
      <c r="O129" s="206"/>
    </row>
    <row r="130" spans="1:15" ht="18" customHeight="1">
      <c r="A130" s="175"/>
      <c r="B130" s="37" t="s">
        <v>196</v>
      </c>
      <c r="C130" s="38">
        <f ca="1">8135.31355555956*OFFSET($L$112,MATCH($N$1,$C$112:$C$113,0)-1,0)</f>
        <v>8135.31355555956</v>
      </c>
      <c r="D130" s="38">
        <f ca="1">2225.51258483106*OFFSET($L$112,MATCH($N$1,$C$112:$C$113,0)-1,0)</f>
        <v>2225.5125848310599</v>
      </c>
      <c r="E130" s="38">
        <f ca="1">2611.30674138558*OFFSET($L$112,MATCH($N$1,$C$112:$C$113,0)-1,0)</f>
        <v>2611.3067413855802</v>
      </c>
      <c r="F130" s="63">
        <f ca="1">2618*OFFSET($L$112,MATCH($N$1,$C$112:$C$113,0)-1,0)</f>
        <v>2618</v>
      </c>
      <c r="G130" s="206"/>
      <c r="H130" s="206"/>
      <c r="I130" s="206"/>
      <c r="J130" s="206"/>
      <c r="K130" s="206"/>
      <c r="L130" s="206"/>
      <c r="M130" s="206"/>
      <c r="N130" s="206"/>
      <c r="O130" s="206"/>
    </row>
    <row r="131" spans="1:15" ht="18" customHeight="1">
      <c r="A131" s="184" t="s">
        <v>197</v>
      </c>
      <c r="B131" s="33" t="s">
        <v>198</v>
      </c>
      <c r="C131" s="64">
        <v>3.3048239111066735</v>
      </c>
      <c r="D131" s="64">
        <v>2.8194087860065609</v>
      </c>
      <c r="E131" s="64">
        <v>1.8535116017920112</v>
      </c>
      <c r="F131" s="65">
        <v>2.7202502329313405</v>
      </c>
      <c r="G131" s="206"/>
      <c r="H131" s="206"/>
      <c r="I131" s="206"/>
      <c r="J131" s="206"/>
      <c r="K131" s="206"/>
      <c r="L131" s="206"/>
      <c r="M131" s="206"/>
      <c r="N131" s="206"/>
      <c r="O131" s="206"/>
    </row>
    <row r="132" spans="1:15" ht="18" customHeight="1">
      <c r="A132" s="185"/>
      <c r="B132" s="35" t="s">
        <v>199</v>
      </c>
      <c r="C132" s="61">
        <f ca="1">26.8857787627635*OFFSET($L$112,MATCH($N$1,$C$112:$C$113,0)-1,0)</f>
        <v>26.885778762763501</v>
      </c>
      <c r="D132" s="61">
        <f ca="1">6.27462973504086*OFFSET($L$112,MATCH($N$1,$C$112:$C$113,0)-1,0)</f>
        <v>6.2746297350408602</v>
      </c>
      <c r="E132" s="61">
        <f ca="1">4.84008734099587*OFFSET($L$112,MATCH($N$1,$C$112:$C$113,0)-1,0)</f>
        <v>4.8400873409958702</v>
      </c>
      <c r="F132" s="62">
        <f ca="1">7.12092039603194*OFFSET($L$112,MATCH($N$1,$C$112:$C$113,0)-1,0)</f>
        <v>7.1209203960319396</v>
      </c>
      <c r="G132" s="206"/>
      <c r="H132" s="206"/>
      <c r="I132" s="206"/>
      <c r="J132" s="206"/>
      <c r="K132" s="206"/>
      <c r="L132" s="206"/>
      <c r="M132" s="206"/>
      <c r="N132" s="206"/>
      <c r="O132" s="206"/>
    </row>
    <row r="133" spans="1:15" ht="18" customHeight="1">
      <c r="A133" s="185"/>
      <c r="B133" s="35" t="s">
        <v>154</v>
      </c>
      <c r="C133" s="61">
        <f ca="1">19.7187433589362*OFFSET($L$112,MATCH($N$1,$C$112:$C$113,0)-1,0)</f>
        <v>19.718743358936202</v>
      </c>
      <c r="D133" s="61">
        <f ca="1">5.46868218406073*OFFSET($L$112,MATCH($N$1,$C$112:$C$113,0)-1,0)</f>
        <v>5.4686821840607296</v>
      </c>
      <c r="E133" s="61">
        <f ca="1">5.22094091253042*OFFSET($L$112,MATCH($N$1,$C$112:$C$113,0)-1,0)</f>
        <v>5.2209409125304198</v>
      </c>
      <c r="F133" s="62">
        <f ca="1">6.14885201775989*OFFSET($L$112,MATCH($N$1,$C$112:$C$113,0)-1,0)</f>
        <v>6.1488520177598902</v>
      </c>
      <c r="G133" s="206"/>
      <c r="H133" s="206"/>
      <c r="I133" s="206"/>
      <c r="J133" s="206"/>
      <c r="K133" s="206"/>
      <c r="L133" s="206"/>
      <c r="M133" s="206"/>
      <c r="N133" s="206"/>
      <c r="O133" s="206"/>
    </row>
    <row r="134" spans="1:15" ht="18" customHeight="1">
      <c r="A134" s="186"/>
      <c r="B134" s="37" t="s">
        <v>155</v>
      </c>
      <c r="C134" s="66">
        <f ca="1">7.16703540382728*OFFSET($L$112,MATCH($N$1,$C$112:$C$113,0)-1,0)</f>
        <v>7.1670354038272803</v>
      </c>
      <c r="D134" s="66">
        <f ca="1">0.805947550980133*OFFSET($L$112,MATCH($N$1,$C$112:$C$113,0)-1,0)</f>
        <v>0.80594755098013304</v>
      </c>
      <c r="E134" s="66">
        <f ca="1">-0.380853571534551*OFFSET($L$112,MATCH($N$1,$C$112:$C$113,0)-1,0)</f>
        <v>-0.38085357153455102</v>
      </c>
      <c r="F134" s="67">
        <f ca="1">0.97206837827205*OFFSET($L$112,MATCH($N$1,$C$112:$C$113,0)-1,0)</f>
        <v>0.97206837827204995</v>
      </c>
      <c r="G134" s="206"/>
      <c r="H134" s="206"/>
      <c r="I134" s="206"/>
      <c r="J134" s="206"/>
      <c r="K134" s="206"/>
      <c r="L134" s="206"/>
      <c r="M134" s="206"/>
      <c r="N134" s="206"/>
      <c r="O134" s="206"/>
    </row>
    <row r="135" spans="1:15" ht="18" customHeight="1">
      <c r="A135" s="187" t="s">
        <v>254</v>
      </c>
      <c r="B135" s="35" t="s">
        <v>255</v>
      </c>
      <c r="C135" s="68">
        <f ca="1">38.755828125*OFFSET($L$112,MATCH($N$1,$C$112:$C$113,0)-1,0)</f>
        <v>38.755828125000001</v>
      </c>
      <c r="D135" s="68">
        <f ca="1">173.398011458333*OFFSET($L$112,MATCH($N$1,$C$112:$C$113,0)-1,0)</f>
        <v>173.398011458333</v>
      </c>
      <c r="E135" s="68">
        <f ca="1">70.640109375*OFFSET($L$112,MATCH($N$1,$C$112:$C$113,0)-1,0)</f>
        <v>70.640109374999994</v>
      </c>
      <c r="F135" s="69">
        <f ca="1">112.1334765625*OFFSET($L$112,MATCH($N$1,$C$112:$C$113,0)-1,0)</f>
        <v>112.13347656249999</v>
      </c>
      <c r="G135" s="206"/>
      <c r="H135" s="206"/>
      <c r="I135" s="206"/>
      <c r="J135" s="206"/>
      <c r="K135" s="206"/>
      <c r="L135" s="206"/>
      <c r="M135" s="206"/>
      <c r="N135" s="206"/>
      <c r="O135" s="206"/>
    </row>
    <row r="136" spans="1:15" ht="18" customHeight="1">
      <c r="A136" s="188"/>
      <c r="B136" s="35" t="s">
        <v>256</v>
      </c>
      <c r="C136" s="30">
        <v>73856.252105712891</v>
      </c>
      <c r="D136" s="30">
        <v>331340.00041417533</v>
      </c>
      <c r="E136" s="30">
        <v>134531.24954223633</v>
      </c>
      <c r="F136" s="70">
        <v>214103.22580645161</v>
      </c>
      <c r="G136" s="206"/>
      <c r="H136" s="206"/>
      <c r="I136" s="206"/>
      <c r="J136" s="206"/>
      <c r="K136" s="206"/>
      <c r="L136" s="206"/>
      <c r="M136" s="206"/>
      <c r="N136" s="206"/>
      <c r="O136" s="206"/>
    </row>
    <row r="137" spans="1:15" ht="18" customHeight="1">
      <c r="A137" s="188"/>
      <c r="B137" s="35" t="s">
        <v>257</v>
      </c>
      <c r="C137" s="30">
        <v>784.661376953125</v>
      </c>
      <c r="D137" s="30">
        <v>1560.9610347856483</v>
      </c>
      <c r="E137" s="30">
        <v>982.876708984375</v>
      </c>
      <c r="F137" s="70">
        <v>1318.9984130859375</v>
      </c>
      <c r="G137" s="206"/>
      <c r="H137" s="206"/>
      <c r="I137" s="206"/>
      <c r="J137" s="206"/>
      <c r="K137" s="206"/>
      <c r="L137" s="206"/>
      <c r="M137" s="206"/>
      <c r="N137" s="206"/>
      <c r="O137" s="206"/>
    </row>
    <row r="138" spans="1:15" ht="18" customHeight="1">
      <c r="A138" s="188"/>
      <c r="B138" s="35" t="s">
        <v>258</v>
      </c>
      <c r="C138" s="30">
        <f ca="1">411.748505976096*OFFSET($L$112,MATCH($N$1,$C$112:$C$113,0)-1,0)</f>
        <v>411.748505976096</v>
      </c>
      <c r="D138" s="30">
        <f ca="1">816.887605050519*OFFSET($L$112,MATCH($N$1,$C$112:$C$113,0)-1,0)</f>
        <v>816.88760505051903</v>
      </c>
      <c r="E138" s="30">
        <f ca="1">516.092123287671*OFFSET($L$112,MATCH($N$1,$C$112:$C$113,0)-1,0)</f>
        <v>516.09212328767103</v>
      </c>
      <c r="F138" s="70">
        <f ca="1">690.806370724949*OFFSET($L$112,MATCH($N$1,$C$112:$C$113,0)-1,0)</f>
        <v>690.80637072494903</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949.395172494287*OFFSET($L$112,MATCH($N$1,$C$112:$C$113,0)-1,0)</f>
        <v>949.39517249428695</v>
      </c>
      <c r="D139" s="30">
        <f ca="1">567.124134573257*OFFSET($L$112,MATCH($N$1,$C$112:$C$113,0)-1,0)</f>
        <v>567.12413457325704</v>
      </c>
      <c r="E139" s="30">
        <f ca="1">1206.32261161992*OFFSET($L$112,MATCH($N$1,$C$112:$C$113,0)-1,0)</f>
        <v>1206.3226116199201</v>
      </c>
      <c r="F139" s="70">
        <f ca="1">645.968183200632*OFFSET($L$112,MATCH($N$1,$C$112:$C$113,0)-1,0)</f>
        <v>645.96818320063198</v>
      </c>
      <c r="G139" s="206"/>
      <c r="H139" s="206"/>
      <c r="I139" s="46"/>
      <c r="J139" s="206"/>
      <c r="K139" s="71" t="s">
        <v>260</v>
      </c>
      <c r="L139" s="72">
        <f t="shared" ref="L139:M141" ca="1" si="2">C140</f>
        <v>338.26668749999999</v>
      </c>
      <c r="M139" s="72">
        <f t="shared" ca="1" si="2"/>
        <v>693.09212083333296</v>
      </c>
      <c r="N139" s="72">
        <f ca="1">E140</f>
        <v>155.75453125000001</v>
      </c>
      <c r="O139" s="72"/>
    </row>
    <row r="140" spans="1:15" ht="18" customHeight="1">
      <c r="A140" s="166" t="s">
        <v>261</v>
      </c>
      <c r="B140" s="33" t="s">
        <v>262</v>
      </c>
      <c r="C140" s="73">
        <f ca="1">338.2666875*OFFSET($L$112,MATCH($N$1,$C$112:$C$113,0)-1,0)</f>
        <v>338.26668749999999</v>
      </c>
      <c r="D140" s="73">
        <f ca="1">693.092120833333*OFFSET($L$112,MATCH($N$1,$C$112:$C$113,0)-1,0)</f>
        <v>693.09212083333296</v>
      </c>
      <c r="E140" s="73">
        <f ca="1">155.75453125*OFFSET($L$112,MATCH($N$1,$C$112:$C$113,0)-1,0)</f>
        <v>155.75453125000001</v>
      </c>
      <c r="F140" s="74">
        <f ca="1">462.8565*OFFSET($L$112,MATCH($N$1,$C$112:$C$113,0)-1,0)</f>
        <v>462.85649999999998</v>
      </c>
      <c r="G140" s="206"/>
      <c r="H140" s="206"/>
      <c r="I140" s="46"/>
      <c r="J140" s="206"/>
      <c r="K140" s="71" t="s">
        <v>263</v>
      </c>
      <c r="L140" s="72">
        <f t="shared" ca="1" si="2"/>
        <v>249.7385625</v>
      </c>
      <c r="M140" s="72">
        <f t="shared" ca="1" si="2"/>
        <v>605.69146041666704</v>
      </c>
      <c r="N140" s="72">
        <f ca="1">E141</f>
        <v>167.78689062500001</v>
      </c>
      <c r="O140" s="72"/>
    </row>
    <row r="141" spans="1:15" ht="18" customHeight="1">
      <c r="A141" s="167"/>
      <c r="B141" s="35" t="s">
        <v>264</v>
      </c>
      <c r="C141" s="30">
        <f ca="1">249.7385625*OFFSET($L$112,MATCH($N$1,$C$112:$C$113,0)-1,0)</f>
        <v>249.7385625</v>
      </c>
      <c r="D141" s="30">
        <f ca="1">605.691460416667*OFFSET($L$112,MATCH($N$1,$C$112:$C$113,0)-1,0)</f>
        <v>605.69146041666704</v>
      </c>
      <c r="E141" s="30">
        <f ca="1">167.786890625*OFFSET($L$112,MATCH($N$1,$C$112:$C$113,0)-1,0)</f>
        <v>167.78689062500001</v>
      </c>
      <c r="F141" s="70">
        <f ca="1">400.825*OFFSET($L$112,MATCH($N$1,$C$112:$C$113,0)-1,0)</f>
        <v>400.82499999999999</v>
      </c>
      <c r="G141" s="206"/>
      <c r="H141" s="206"/>
      <c r="I141" s="46"/>
      <c r="J141" s="206"/>
      <c r="K141" s="71" t="s">
        <v>265</v>
      </c>
      <c r="L141" s="72">
        <f t="shared" ca="1" si="2"/>
        <v>88.528125000000003</v>
      </c>
      <c r="M141" s="72">
        <f t="shared" ca="1" si="2"/>
        <v>87.400660416666696</v>
      </c>
      <c r="N141" s="72">
        <f ca="1">E142</f>
        <v>-12.032359375</v>
      </c>
      <c r="O141" s="72"/>
    </row>
    <row r="142" spans="1:15" ht="18" customHeight="1">
      <c r="A142" s="168"/>
      <c r="B142" s="37" t="s">
        <v>266</v>
      </c>
      <c r="C142" s="38">
        <f ca="1">88.528125*OFFSET($L$112,MATCH($N$1,$C$112:$C$113,0)-1,0)</f>
        <v>88.528125000000003</v>
      </c>
      <c r="D142" s="38">
        <f ca="1">87.4006604166667*OFFSET($L$112,MATCH($N$1,$C$112:$C$113,0)-1,0)</f>
        <v>87.400660416666696</v>
      </c>
      <c r="E142" s="38">
        <f ca="1">-12.032359375*OFFSET($L$112,MATCH($N$1,$C$112:$C$113,0)-1,0)</f>
        <v>-12.032359375</v>
      </c>
      <c r="F142" s="63">
        <f ca="1">62.0314765625*OFFSET($L$112,MATCH($N$1,$C$112:$C$113,0)-1,0)</f>
        <v>62.031476562500004</v>
      </c>
      <c r="G142" s="206"/>
      <c r="H142" s="206"/>
      <c r="I142" s="46"/>
      <c r="J142" s="206"/>
      <c r="K142" s="71" t="s">
        <v>267</v>
      </c>
      <c r="L142" s="75">
        <f ca="1">IFERROR(L140/L$139,"")</f>
        <v>0.73828896467968042</v>
      </c>
      <c r="M142" s="75">
        <f t="shared" ref="M142:N143" ca="1" si="3">IFERROR(M140/M$139,"")</f>
        <v>0.87389748376942944</v>
      </c>
      <c r="N142" s="75">
        <f t="shared" ca="1" si="3"/>
        <v>1.0772520663022445</v>
      </c>
      <c r="O142" s="75"/>
    </row>
    <row r="143" spans="1:15" ht="18" customHeight="1">
      <c r="A143" s="206"/>
      <c r="B143" s="206"/>
      <c r="C143" s="206"/>
      <c r="D143" s="206"/>
      <c r="E143" s="206"/>
      <c r="F143" s="206"/>
      <c r="G143" s="206"/>
      <c r="H143" s="206"/>
      <c r="I143" s="46"/>
      <c r="J143" s="206"/>
      <c r="K143" s="71" t="s">
        <v>268</v>
      </c>
      <c r="L143" s="75">
        <f ca="1">IFERROR(L141/L$139,"")</f>
        <v>0.26171103532031958</v>
      </c>
      <c r="M143" s="75">
        <f t="shared" ca="1" si="3"/>
        <v>0.12610251623057164</v>
      </c>
      <c r="N143" s="75">
        <f t="shared" ca="1" si="3"/>
        <v>-7.7252066302244418E-2</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11</v>
      </c>
      <c r="B161" s="51"/>
      <c r="C161" s="76" t="s">
        <v>249</v>
      </c>
      <c r="D161" s="76" t="s">
        <v>270</v>
      </c>
      <c r="E161" s="76" t="s">
        <v>251</v>
      </c>
      <c r="F161" s="76" t="s">
        <v>271</v>
      </c>
      <c r="G161" s="77">
        <v>10</v>
      </c>
      <c r="H161" s="76"/>
      <c r="I161" s="76" t="s">
        <v>249</v>
      </c>
      <c r="J161" s="76" t="s">
        <v>270</v>
      </c>
      <c r="K161" s="76" t="s">
        <v>251</v>
      </c>
      <c r="L161" s="51" t="s">
        <v>271</v>
      </c>
      <c r="R161" s="206"/>
      <c r="S161" s="206"/>
    </row>
    <row r="162" spans="1:19" s="46" customFormat="1">
      <c r="A162" s="47">
        <v>1</v>
      </c>
      <c r="B162" s="51" t="s">
        <v>165</v>
      </c>
      <c r="C162" s="51">
        <v>0</v>
      </c>
      <c r="D162" s="51">
        <v>0.6395486665972453</v>
      </c>
      <c r="E162" s="51">
        <v>0.4344626725826668</v>
      </c>
      <c r="F162" s="47">
        <v>12153634</v>
      </c>
      <c r="G162" s="47">
        <v>1</v>
      </c>
      <c r="H162" s="51" t="s">
        <v>165</v>
      </c>
      <c r="I162" s="51">
        <v>0</v>
      </c>
      <c r="J162" s="51">
        <v>0.71395661367268082</v>
      </c>
      <c r="K162" s="51">
        <v>0.3838030950748878</v>
      </c>
      <c r="L162" s="47">
        <v>12153634</v>
      </c>
      <c r="R162" s="206"/>
      <c r="S162" s="206"/>
    </row>
    <row r="163" spans="1:19" s="46" customFormat="1">
      <c r="A163" s="47">
        <v>2</v>
      </c>
      <c r="B163" s="51" t="s">
        <v>343</v>
      </c>
      <c r="C163" s="51">
        <v>0</v>
      </c>
      <c r="D163" s="51">
        <v>0.32025476466277719</v>
      </c>
      <c r="E163" s="51">
        <v>0.22781428283958888</v>
      </c>
      <c r="F163" s="47">
        <v>3050596</v>
      </c>
      <c r="G163" s="47">
        <v>2</v>
      </c>
      <c r="H163" s="51" t="s">
        <v>343</v>
      </c>
      <c r="I163" s="51">
        <v>0</v>
      </c>
      <c r="J163" s="51">
        <v>0.23290027107957881</v>
      </c>
      <c r="K163" s="51">
        <v>0.13160182754824001</v>
      </c>
      <c r="L163" s="47">
        <v>3050596</v>
      </c>
      <c r="N163" s="46" t="s">
        <v>272</v>
      </c>
      <c r="R163" s="206"/>
      <c r="S163" s="206"/>
    </row>
    <row r="164" spans="1:19" s="46" customFormat="1">
      <c r="A164" s="47">
        <v>3</v>
      </c>
      <c r="B164" s="51" t="s">
        <v>172</v>
      </c>
      <c r="C164" s="51">
        <v>1.0787793567985423E-2</v>
      </c>
      <c r="D164" s="51">
        <v>9.9254981100791728E-3</v>
      </c>
      <c r="E164" s="51">
        <v>0.25576554000482193</v>
      </c>
      <c r="F164" s="47">
        <v>1692097</v>
      </c>
      <c r="G164" s="47">
        <v>3</v>
      </c>
      <c r="H164" s="51" t="s">
        <v>172</v>
      </c>
      <c r="I164" s="51">
        <v>5.3243494252370252E-3</v>
      </c>
      <c r="J164" s="51">
        <v>1.8527086607999153E-2</v>
      </c>
      <c r="K164" s="51">
        <v>0.37024755967247158</v>
      </c>
      <c r="L164" s="47">
        <v>1692097</v>
      </c>
      <c r="N164" s="46" t="s">
        <v>273</v>
      </c>
      <c r="R164" s="206"/>
      <c r="S164" s="206"/>
    </row>
    <row r="165" spans="1:19" s="46" customFormat="1">
      <c r="A165" s="47">
        <v>4</v>
      </c>
      <c r="B165" s="51" t="s">
        <v>362</v>
      </c>
      <c r="C165" s="51">
        <v>0</v>
      </c>
      <c r="D165" s="51">
        <v>9.2465521248978749E-3</v>
      </c>
      <c r="E165" s="51">
        <v>0</v>
      </c>
      <c r="F165" s="47">
        <v>11115023</v>
      </c>
      <c r="G165" s="47">
        <v>4</v>
      </c>
      <c r="H165" s="51" t="s">
        <v>173</v>
      </c>
      <c r="I165" s="51">
        <v>0.9868764109198187</v>
      </c>
      <c r="J165" s="51">
        <v>1.4633194447282694E-2</v>
      </c>
      <c r="K165" s="51">
        <v>0</v>
      </c>
      <c r="L165" s="47">
        <v>553960</v>
      </c>
      <c r="R165" s="206"/>
      <c r="S165" s="206"/>
    </row>
    <row r="166" spans="1:19" s="46" customFormat="1">
      <c r="A166" s="47">
        <v>5</v>
      </c>
      <c r="B166" s="51" t="s">
        <v>345</v>
      </c>
      <c r="C166" s="51">
        <v>0</v>
      </c>
      <c r="D166" s="51">
        <v>6.5645707686743928E-3</v>
      </c>
      <c r="E166" s="51">
        <v>0</v>
      </c>
      <c r="F166" s="47">
        <v>2480382</v>
      </c>
      <c r="G166" s="47">
        <v>5</v>
      </c>
      <c r="H166" s="51" t="s">
        <v>362</v>
      </c>
      <c r="I166" s="51">
        <v>0</v>
      </c>
      <c r="J166" s="51">
        <v>6.7014177571598534E-3</v>
      </c>
      <c r="K166" s="51">
        <v>0</v>
      </c>
      <c r="L166" s="47">
        <v>11115023</v>
      </c>
      <c r="R166" s="206"/>
      <c r="S166" s="206"/>
    </row>
    <row r="167" spans="1:19" s="46" customFormat="1">
      <c r="A167" s="47">
        <v>6</v>
      </c>
      <c r="B167" s="51" t="s">
        <v>242</v>
      </c>
      <c r="C167" s="51">
        <v>0</v>
      </c>
      <c r="D167" s="51">
        <v>0</v>
      </c>
      <c r="E167" s="51">
        <v>2.7861159406090425E-2</v>
      </c>
      <c r="F167" s="47">
        <v>3689192</v>
      </c>
      <c r="G167" s="47">
        <v>6</v>
      </c>
      <c r="H167" s="51" t="s">
        <v>361</v>
      </c>
      <c r="I167" s="51">
        <v>0</v>
      </c>
      <c r="J167" s="51">
        <v>0</v>
      </c>
      <c r="K167" s="51">
        <v>4.5213859679462634E-2</v>
      </c>
      <c r="L167" s="47">
        <v>8497745</v>
      </c>
      <c r="R167" s="206"/>
      <c r="S167" s="206"/>
    </row>
    <row r="168" spans="1:19" s="46" customFormat="1">
      <c r="A168" s="47">
        <v>7</v>
      </c>
      <c r="B168" s="51" t="s">
        <v>365</v>
      </c>
      <c r="C168" s="51">
        <v>0</v>
      </c>
      <c r="D168" s="51">
        <v>0</v>
      </c>
      <c r="E168" s="51">
        <v>1.2615648732854758E-2</v>
      </c>
      <c r="F168" s="47">
        <v>7434864</v>
      </c>
      <c r="G168" s="47">
        <v>7</v>
      </c>
      <c r="H168" s="51" t="s">
        <v>242</v>
      </c>
      <c r="I168" s="51">
        <v>0</v>
      </c>
      <c r="J168" s="51">
        <v>0</v>
      </c>
      <c r="K168" s="51">
        <v>3.9005154751579972E-2</v>
      </c>
      <c r="L168" s="47">
        <v>3689192</v>
      </c>
      <c r="R168" s="206"/>
      <c r="S168" s="206"/>
    </row>
    <row r="169" spans="1:19" s="46" customFormat="1">
      <c r="A169" s="47">
        <v>8</v>
      </c>
      <c r="B169" s="51" t="s">
        <v>173</v>
      </c>
      <c r="C169" s="51">
        <v>0.97057960808038235</v>
      </c>
      <c r="D169" s="51">
        <v>0</v>
      </c>
      <c r="E169" s="51">
        <v>0</v>
      </c>
      <c r="F169" s="47">
        <v>553960</v>
      </c>
      <c r="G169" s="47">
        <v>8</v>
      </c>
      <c r="H169" s="51" t="s">
        <v>160</v>
      </c>
      <c r="I169" s="51">
        <v>7.7992396549442181E-3</v>
      </c>
      <c r="J169" s="51">
        <v>0</v>
      </c>
      <c r="K169" s="51">
        <v>0</v>
      </c>
      <c r="L169" s="47">
        <v>14393110</v>
      </c>
      <c r="R169" s="206"/>
      <c r="S169" s="206"/>
    </row>
    <row r="170" spans="1:19" s="46" customFormat="1">
      <c r="A170" s="47">
        <v>9</v>
      </c>
      <c r="B170" s="51" t="s">
        <v>160</v>
      </c>
      <c r="C170" s="51">
        <v>1.8632598351632182E-2</v>
      </c>
      <c r="D170" s="51">
        <v>0</v>
      </c>
      <c r="E170" s="51">
        <v>0</v>
      </c>
      <c r="F170" s="47">
        <v>14393110</v>
      </c>
      <c r="G170" s="47">
        <v>9</v>
      </c>
      <c r="H170" s="51" t="s">
        <v>245</v>
      </c>
      <c r="I170" s="51">
        <v>0</v>
      </c>
      <c r="J170" s="51">
        <v>1.3281416435298676E-2</v>
      </c>
      <c r="K170" s="51">
        <v>3.0128503273358032E-2</v>
      </c>
      <c r="L170" s="47">
        <v>5920853</v>
      </c>
      <c r="R170" s="206"/>
      <c r="S170" s="206"/>
    </row>
    <row r="171" spans="1:19" s="46" customFormat="1">
      <c r="A171" s="47">
        <v>10</v>
      </c>
      <c r="B171" s="51" t="s">
        <v>245</v>
      </c>
      <c r="C171" s="51">
        <v>0</v>
      </c>
      <c r="D171" s="51">
        <v>1.4459947736326084E-2</v>
      </c>
      <c r="E171" s="51">
        <v>4.1480696433977116E-2</v>
      </c>
      <c r="F171" s="47">
        <v>5920853</v>
      </c>
      <c r="G171" s="47">
        <v>10</v>
      </c>
      <c r="H171" s="51"/>
      <c r="I171" s="51">
        <v>0</v>
      </c>
      <c r="J171" s="51">
        <v>0</v>
      </c>
      <c r="K171" s="51">
        <v>0</v>
      </c>
      <c r="L171" s="47">
        <v>14393110</v>
      </c>
      <c r="R171" s="206"/>
      <c r="S171" s="206"/>
    </row>
    <row r="172" spans="1:19" s="46" customFormat="1">
      <c r="A172" s="47">
        <v>11</v>
      </c>
      <c r="B172" s="51"/>
      <c r="C172" s="51">
        <v>0</v>
      </c>
      <c r="D172" s="51">
        <v>0</v>
      </c>
      <c r="E172" s="51">
        <v>0</v>
      </c>
      <c r="F172" s="47">
        <v>14393110</v>
      </c>
      <c r="G172" s="47">
        <v>11</v>
      </c>
      <c r="H172" s="51"/>
      <c r="I172" s="51">
        <v>0</v>
      </c>
      <c r="J172" s="51">
        <v>0</v>
      </c>
      <c r="K172" s="51">
        <v>0</v>
      </c>
      <c r="L172" s="47">
        <v>14393110</v>
      </c>
      <c r="R172" s="206"/>
      <c r="S172" s="206"/>
    </row>
    <row r="173" spans="1:19" s="46" customFormat="1">
      <c r="A173" s="47">
        <v>12</v>
      </c>
      <c r="B173" s="51"/>
      <c r="C173" s="51">
        <v>0</v>
      </c>
      <c r="D173" s="51">
        <v>0</v>
      </c>
      <c r="E173" s="51">
        <v>0</v>
      </c>
      <c r="F173" s="47">
        <v>14393110</v>
      </c>
      <c r="G173" s="47">
        <v>12</v>
      </c>
      <c r="H173" s="51"/>
      <c r="I173" s="51">
        <v>0</v>
      </c>
      <c r="J173" s="51">
        <v>0</v>
      </c>
      <c r="K173" s="51">
        <v>0</v>
      </c>
      <c r="L173" s="47">
        <v>14393110</v>
      </c>
      <c r="R173" s="206"/>
      <c r="S173" s="206"/>
    </row>
    <row r="174" spans="1:19" s="46" customFormat="1">
      <c r="A174" s="47">
        <v>13</v>
      </c>
      <c r="B174" s="51"/>
      <c r="C174" s="51">
        <v>0</v>
      </c>
      <c r="D174" s="51">
        <v>0</v>
      </c>
      <c r="E174" s="51">
        <v>0</v>
      </c>
      <c r="F174" s="47">
        <v>14393110</v>
      </c>
      <c r="G174" s="47">
        <v>13</v>
      </c>
      <c r="H174" s="51"/>
      <c r="I174" s="51">
        <v>0</v>
      </c>
      <c r="J174" s="51">
        <v>0</v>
      </c>
      <c r="K174" s="51">
        <v>0</v>
      </c>
      <c r="L174" s="47">
        <v>14393110</v>
      </c>
      <c r="R174" s="206"/>
      <c r="S174" s="206"/>
    </row>
    <row r="175" spans="1:19" s="46" customFormat="1">
      <c r="A175" s="47">
        <v>14</v>
      </c>
      <c r="B175" s="51"/>
      <c r="C175" s="51">
        <v>0</v>
      </c>
      <c r="D175" s="51">
        <v>0</v>
      </c>
      <c r="E175" s="51">
        <v>0</v>
      </c>
      <c r="F175" s="47">
        <v>14393110</v>
      </c>
      <c r="G175" s="47">
        <v>14</v>
      </c>
      <c r="H175" s="51"/>
      <c r="I175" s="51">
        <v>0</v>
      </c>
      <c r="J175" s="51">
        <v>0</v>
      </c>
      <c r="K175" s="51">
        <v>0</v>
      </c>
      <c r="L175" s="47">
        <v>14393110</v>
      </c>
      <c r="R175" s="206"/>
      <c r="S175" s="206"/>
    </row>
    <row r="176" spans="1:19" s="46" customFormat="1">
      <c r="A176" s="47">
        <v>15</v>
      </c>
      <c r="B176" s="51"/>
      <c r="C176" s="51">
        <v>0</v>
      </c>
      <c r="D176" s="51">
        <v>0</v>
      </c>
      <c r="E176" s="51">
        <v>0</v>
      </c>
      <c r="F176" s="47">
        <v>14393110</v>
      </c>
      <c r="G176" s="47">
        <v>15</v>
      </c>
      <c r="H176" s="51"/>
      <c r="I176" s="51">
        <v>0</v>
      </c>
      <c r="J176" s="51">
        <v>0</v>
      </c>
      <c r="K176" s="51">
        <v>0</v>
      </c>
      <c r="L176" s="47">
        <v>14393110</v>
      </c>
      <c r="R176" s="206"/>
      <c r="S176" s="206"/>
    </row>
    <row r="177" spans="1:19" s="46" customFormat="1">
      <c r="A177" s="47">
        <v>16</v>
      </c>
      <c r="B177" s="51"/>
      <c r="C177" s="51">
        <v>0</v>
      </c>
      <c r="D177" s="51">
        <v>0</v>
      </c>
      <c r="E177" s="51">
        <v>0</v>
      </c>
      <c r="F177" s="47">
        <v>14393110</v>
      </c>
      <c r="G177" s="47">
        <v>16</v>
      </c>
      <c r="H177" s="51"/>
      <c r="I177" s="51">
        <v>0</v>
      </c>
      <c r="J177" s="51">
        <v>0</v>
      </c>
      <c r="K177" s="51">
        <v>0</v>
      </c>
      <c r="L177" s="47">
        <v>14393110</v>
      </c>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E5FA5129-6BA3-422F-82B7-1947DB10FEA3}">
      <formula1>$C$112:$C$113</formula1>
    </dataValidation>
  </dataValidations>
  <hyperlinks>
    <hyperlink ref="O1:P1" location="Home_page" display="Back to home page" xr:uid="{A74849ED-B360-47A6-A802-F75B1D1093C2}"/>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FC98FDCF-AE98-428B-B5BC-4351FE3546C1}">
          <x14:colorSeries rgb="FF323232"/>
          <x14:colorNegative rgb="FFD00000"/>
          <x14:colorAxis rgb="FF000000"/>
          <x14:colorMarkers rgb="FFD00000"/>
          <x14:colorFirst rgb="FFD00000"/>
          <x14:colorLast rgb="FFD00000"/>
          <x14:colorHigh rgb="FFD00000"/>
          <x14:colorLow rgb="FFD00000"/>
          <x14:sparklines>
            <x14:sparkline>
              <xm:f>Longliners!D3:N3</xm:f>
              <xm:sqref>C3</xm:sqref>
            </x14:sparkline>
            <x14:sparkline>
              <xm:f>Longliners!D4:N4</xm:f>
              <xm:sqref>C4</xm:sqref>
            </x14:sparkline>
            <x14:sparkline>
              <xm:f>Longliners!D5:N5</xm:f>
              <xm:sqref>C5</xm:sqref>
            </x14:sparkline>
            <x14:sparkline>
              <xm:f>Longliners!D6:N6</xm:f>
              <xm:sqref>C6</xm:sqref>
            </x14:sparkline>
            <x14:sparkline>
              <xm:f>Longliners!D7:N7</xm:f>
              <xm:sqref>C7</xm:sqref>
            </x14:sparkline>
            <x14:sparkline>
              <xm:f>Longliners!D8:N8</xm:f>
              <xm:sqref>C8</xm:sqref>
            </x14:sparkline>
            <x14:sparkline>
              <xm:f>Longliners!D9:N9</xm:f>
              <xm:sqref>C9</xm:sqref>
            </x14:sparkline>
            <x14:sparkline>
              <xm:f>Longliners!D10:N10</xm:f>
              <xm:sqref>C10</xm:sqref>
            </x14:sparkline>
            <x14:sparkline>
              <xm:f>Longliners!D11:N11</xm:f>
              <xm:sqref>C11</xm:sqref>
            </x14:sparkline>
            <x14:sparkline>
              <xm:f>Longliners!D12:N12</xm:f>
              <xm:sqref>C12</xm:sqref>
            </x14:sparkline>
            <x14:sparkline>
              <xm:f>Longliners!D13:N13</xm:f>
              <xm:sqref>C13</xm:sqref>
            </x14:sparkline>
            <x14:sparkline>
              <xm:f>Longliners!D14:N14</xm:f>
              <xm:sqref>C14</xm:sqref>
            </x14:sparkline>
            <x14:sparkline>
              <xm:f>Longliners!D15:N15</xm:f>
              <xm:sqref>C15</xm:sqref>
            </x14:sparkline>
            <x14:sparkline>
              <xm:f>Longliners!D16:N16</xm:f>
              <xm:sqref>C16</xm:sqref>
            </x14:sparkline>
            <x14:sparkline>
              <xm:f>Longliners!D17:N17</xm:f>
              <xm:sqref>C17</xm:sqref>
            </x14:sparkline>
            <x14:sparkline>
              <xm:f>Longliners!D18:N18</xm:f>
              <xm:sqref>C18</xm:sqref>
            </x14:sparkline>
            <x14:sparkline>
              <xm:f>Longliners!D19:N19</xm:f>
              <xm:sqref>C19</xm:sqref>
            </x14:sparkline>
            <x14:sparkline>
              <xm:f>Longliners!D20:N20</xm:f>
              <xm:sqref>C20</xm:sqref>
            </x14:sparkline>
            <x14:sparkline>
              <xm:f>Longliners!D21:N21</xm:f>
              <xm:sqref>C21</xm:sqref>
            </x14:sparkline>
            <x14:sparkline>
              <xm:f>Longliners!D22:N22</xm:f>
              <xm:sqref>C22</xm:sqref>
            </x14:sparkline>
            <x14:sparkline>
              <xm:f>Longliners!D23:N23</xm:f>
              <xm:sqref>C23</xm:sqref>
            </x14:sparkline>
            <x14:sparkline>
              <xm:f>Longliners!D24:N24</xm:f>
              <xm:sqref>C24</xm:sqref>
            </x14:sparkline>
            <x14:sparkline>
              <xm:f>Longliners!D25:N25</xm:f>
              <xm:sqref>C25</xm:sqref>
            </x14:sparkline>
            <x14:sparkline>
              <xm:f>Longliners!D26:N26</xm:f>
              <xm:sqref>C26</xm:sqref>
            </x14:sparkline>
            <x14:sparkline>
              <xm:f>Longliners!D27:N27</xm:f>
              <xm:sqref>C27</xm:sqref>
            </x14:sparkline>
            <x14:sparkline>
              <xm:f>Longliners!D28:N28</xm:f>
              <xm:sqref>C28</xm:sqref>
            </x14:sparkline>
            <x14:sparkline>
              <xm:f>Longliners!D29:N29</xm:f>
              <xm:sqref>C29</xm:sqref>
            </x14:sparkline>
            <x14:sparkline>
              <xm:f>Longliners!D30:N30</xm:f>
              <xm:sqref>C30</xm:sqref>
            </x14:sparkline>
            <x14:sparkline>
              <xm:f>Longliners!D31:N31</xm:f>
              <xm:sqref>C31</xm:sqref>
            </x14:sparkline>
            <x14:sparkline>
              <xm:f>Longliners!D32:N32</xm:f>
              <xm:sqref>C32</xm:sqref>
            </x14:sparkline>
            <x14:sparkline>
              <xm:f>Longliners!D33:N33</xm:f>
              <xm:sqref>C33</xm:sqref>
            </x14:sparkline>
            <x14:sparkline>
              <xm:f>Longliners!D34:N34</xm:f>
              <xm:sqref>C34</xm:sqref>
            </x14:sparkline>
            <x14:sparkline>
              <xm:f>Longliners!D35:N35</xm:f>
              <xm:sqref>C35</xm:sqref>
            </x14:sparkline>
            <x14:sparkline>
              <xm:f>Longliners!D36:N36</xm:f>
              <xm:sqref>C36</xm:sqref>
            </x14:sparkline>
            <x14:sparkline>
              <xm:f>Longliners!D37:N37</xm:f>
              <xm:sqref>C37</xm:sqref>
            </x14:sparkline>
            <x14:sparkline>
              <xm:f>Longliners!D38:N38</xm:f>
              <xm:sqref>C38</xm:sqref>
            </x14:sparkline>
            <x14:sparkline>
              <xm:f>Longliners!D39:N39</xm:f>
              <xm:sqref>C39</xm:sqref>
            </x14:sparkline>
            <x14:sparkline>
              <xm:f>Longliners!D40:N40</xm:f>
              <xm:sqref>C40</xm:sqref>
            </x14:sparkline>
            <x14:sparkline>
              <xm:f>Longliners!D41:N41</xm:f>
              <xm:sqref>C41</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E1E62-E1F3-46E7-AF46-60154BA745FA}">
  <sheetPr codeName="Feuil14">
    <pageSetUpPr fitToPage="1"/>
  </sheetPr>
  <dimension ref="A1:S192"/>
  <sheetViews>
    <sheetView topLeftCell="A46"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18</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80</v>
      </c>
      <c r="E3" s="27">
        <v>65</v>
      </c>
      <c r="F3" s="27">
        <v>59</v>
      </c>
      <c r="G3" s="27">
        <v>51</v>
      </c>
      <c r="H3" s="27">
        <v>59</v>
      </c>
      <c r="I3" s="27">
        <v>48</v>
      </c>
      <c r="J3" s="27">
        <v>52</v>
      </c>
      <c r="K3" s="27">
        <v>42</v>
      </c>
      <c r="L3" s="27">
        <v>38</v>
      </c>
      <c r="M3" s="27">
        <v>48</v>
      </c>
      <c r="N3" s="27">
        <v>51</v>
      </c>
      <c r="O3" s="28">
        <f t="shared" ref="O3:O41" si="0">IF(N3=0,"",IFERROR(IF(AND(N3&gt;0,D3&lt;0),"na",IF(AND(N3&lt;0,D3&lt;0),-1,1)*(N3-D3)/D3),""))</f>
        <v>-0.36249999999999999</v>
      </c>
      <c r="P3" s="28">
        <f t="shared" ref="P3:P41" si="1">IF(N3=0,"",IFERROR(IF(AND(N3&gt;0,J3&lt;0),"na",IF(AND(N3&lt;0,J3&lt;0),-1,1)*(N3-J3)/J3),""))</f>
        <v>-1.9230769230769232E-2</v>
      </c>
      <c r="Q3" s="206"/>
    </row>
    <row r="4" spans="1:17" ht="18" customHeight="1">
      <c r="A4" s="172"/>
      <c r="B4" s="29" t="s">
        <v>184</v>
      </c>
      <c r="C4" s="30"/>
      <c r="D4" s="30">
        <v>10512</v>
      </c>
      <c r="E4" s="30">
        <v>8344</v>
      </c>
      <c r="F4" s="30">
        <v>7839</v>
      </c>
      <c r="G4" s="30">
        <v>7102</v>
      </c>
      <c r="H4" s="30">
        <v>9012</v>
      </c>
      <c r="I4" s="30">
        <v>5467</v>
      </c>
      <c r="J4" s="30">
        <v>7444</v>
      </c>
      <c r="K4" s="30">
        <v>5803</v>
      </c>
      <c r="L4" s="30">
        <v>5277</v>
      </c>
      <c r="M4" s="30">
        <v>7538</v>
      </c>
      <c r="N4" s="30">
        <v>6723</v>
      </c>
      <c r="O4" s="28">
        <f t="shared" si="0"/>
        <v>-0.36044520547945208</v>
      </c>
      <c r="P4" s="28">
        <f t="shared" si="1"/>
        <v>-9.6856528747984949E-2</v>
      </c>
      <c r="Q4" s="206"/>
    </row>
    <row r="5" spans="1:17" ht="18" customHeight="1">
      <c r="A5" s="172"/>
      <c r="B5" s="29" t="s">
        <v>185</v>
      </c>
      <c r="C5" s="30"/>
      <c r="D5" s="30">
        <v>1857</v>
      </c>
      <c r="E5" s="30">
        <v>1188</v>
      </c>
      <c r="F5" s="30">
        <v>1200</v>
      </c>
      <c r="G5" s="30">
        <v>1307</v>
      </c>
      <c r="H5" s="30">
        <v>1579</v>
      </c>
      <c r="I5" s="30">
        <v>738</v>
      </c>
      <c r="J5" s="30">
        <v>1129</v>
      </c>
      <c r="K5" s="30">
        <v>795</v>
      </c>
      <c r="L5" s="30">
        <v>630</v>
      </c>
      <c r="M5" s="30">
        <v>1395</v>
      </c>
      <c r="N5" s="30">
        <v>939</v>
      </c>
      <c r="O5" s="28">
        <f t="shared" si="0"/>
        <v>-0.49434571890145396</v>
      </c>
      <c r="P5" s="28">
        <f t="shared" si="1"/>
        <v>-0.1682905225863596</v>
      </c>
      <c r="Q5" s="207"/>
    </row>
    <row r="6" spans="1:17" ht="18" customHeight="1">
      <c r="A6" s="172"/>
      <c r="B6" s="29" t="s">
        <v>186</v>
      </c>
      <c r="C6" s="30"/>
      <c r="D6" s="30">
        <v>9426.1923828125</v>
      </c>
      <c r="E6" s="30">
        <v>7154.99609375</v>
      </c>
      <c r="F6" s="30">
        <v>6797.341796875</v>
      </c>
      <c r="G6" s="30">
        <v>6082.8984375</v>
      </c>
      <c r="H6" s="30">
        <v>7784.380859375</v>
      </c>
      <c r="I6" s="30">
        <v>4837.37353515625</v>
      </c>
      <c r="J6" s="30">
        <v>6361.83544921875</v>
      </c>
      <c r="K6" s="30">
        <v>4888.06103515625</v>
      </c>
      <c r="L6" s="30">
        <v>4334.62890625</v>
      </c>
      <c r="M6" s="30">
        <v>6318.81787109375</v>
      </c>
      <c r="N6" s="30">
        <v>5814.046875</v>
      </c>
      <c r="O6" s="28">
        <f t="shared" si="0"/>
        <v>-0.38320303268993344</v>
      </c>
      <c r="P6" s="28">
        <f t="shared" si="1"/>
        <v>-8.610542957159005E-2</v>
      </c>
      <c r="Q6" s="206"/>
    </row>
    <row r="7" spans="1:17" ht="18" customHeight="1">
      <c r="A7" s="172"/>
      <c r="B7" s="29" t="s">
        <v>187</v>
      </c>
      <c r="C7" s="30"/>
      <c r="D7" s="30">
        <v>3631.11083984375</v>
      </c>
      <c r="E7" s="30">
        <v>179.19149780273438</v>
      </c>
      <c r="F7" s="30">
        <v>216.94219970703125</v>
      </c>
      <c r="G7" s="30">
        <v>159.73219299316406</v>
      </c>
      <c r="H7" s="30">
        <v>2177.45556640625</v>
      </c>
      <c r="I7" s="30">
        <v>109.01930236816406</v>
      </c>
      <c r="J7" s="30">
        <v>1458.86376953125</v>
      </c>
      <c r="K7" s="30">
        <v>107.86129760742188</v>
      </c>
      <c r="L7" s="30">
        <v>76.006599426269531</v>
      </c>
      <c r="M7" s="30">
        <v>83.107803344726563</v>
      </c>
      <c r="N7" s="30">
        <v>90.239799499511719</v>
      </c>
      <c r="O7" s="28">
        <f t="shared" si="0"/>
        <v>-0.97514815617597761</v>
      </c>
      <c r="P7" s="28">
        <f t="shared" si="1"/>
        <v>-0.93814377916280223</v>
      </c>
      <c r="Q7" s="206"/>
    </row>
    <row r="8" spans="1:17" ht="18" customHeight="1">
      <c r="A8" s="172"/>
      <c r="B8" s="29" t="s">
        <v>188</v>
      </c>
      <c r="C8" s="31"/>
      <c r="D8" s="31">
        <f ca="1">0.43668728125*OFFSET(D$112,MATCH($N$1,$C$112:$C$113,0)-1,0)</f>
        <v>0.43668728125</v>
      </c>
      <c r="E8" s="31">
        <f ca="1">0.38621159375*OFFSET(E$112,MATCH($N$1,$C$112:$C$113,0)-1,0)</f>
        <v>0.38621159375000003</v>
      </c>
      <c r="F8" s="31">
        <f ca="1">0.31445953125*OFFSET(F$112,MATCH($N$1,$C$112:$C$113,0)-1,0)</f>
        <v>0.31445953124999998</v>
      </c>
      <c r="G8" s="31">
        <f ca="1">0.328684875*OFFSET(G$112,MATCH($N$1,$C$112:$C$113,0)-1,0)</f>
        <v>0.32868487499999999</v>
      </c>
      <c r="H8" s="31">
        <f ca="1">0.3281668125*OFFSET(H$112,MATCH($N$1,$C$112:$C$113,0)-1,0)</f>
        <v>0.32816681250000002</v>
      </c>
      <c r="I8" s="31">
        <f ca="1">0.28026028125*OFFSET(I$112,MATCH($N$1,$C$112:$C$113,0)-1,0)</f>
        <v>0.28026028125000002</v>
      </c>
      <c r="J8" s="31">
        <f ca="1">0.26722071875*OFFSET(J$112,MATCH($N$1,$C$112:$C$113,0)-1,0)</f>
        <v>0.26722071874999997</v>
      </c>
      <c r="K8" s="31">
        <f ca="1">0.194801796875*OFFSET(K$112,MATCH($N$1,$C$112:$C$113,0)-1,0)</f>
        <v>0.19480179687499999</v>
      </c>
      <c r="L8" s="31">
        <f ca="1">0.186292265625*OFFSET(L$112,MATCH($N$1,$C$112:$C$113,0)-1,0)</f>
        <v>0.18629226562500001</v>
      </c>
      <c r="M8" s="31">
        <f ca="1">0.2029128125*OFFSET(M$112,MATCH($N$1,$C$112:$C$113,0)-1,0)</f>
        <v>0.20291281250000001</v>
      </c>
      <c r="N8" s="31">
        <v>0.21305384375</v>
      </c>
      <c r="O8" s="28">
        <f t="shared" ca="1" si="0"/>
        <v>-0.51211346678075476</v>
      </c>
      <c r="P8" s="28">
        <f t="shared" ca="1" si="1"/>
        <v>-0.20270462280537513</v>
      </c>
      <c r="Q8" s="206"/>
    </row>
    <row r="9" spans="1:17" ht="18" customHeight="1">
      <c r="A9" s="172"/>
      <c r="B9" s="29" t="s">
        <v>189</v>
      </c>
      <c r="C9" s="30"/>
      <c r="D9" s="30">
        <v>1457</v>
      </c>
      <c r="E9" s="30">
        <v>1232</v>
      </c>
      <c r="F9" s="30">
        <v>1095</v>
      </c>
      <c r="G9" s="30">
        <v>1051</v>
      </c>
      <c r="H9" s="30">
        <v>1943</v>
      </c>
      <c r="I9" s="30">
        <v>1064</v>
      </c>
      <c r="J9" s="30">
        <v>1196</v>
      </c>
      <c r="K9" s="30">
        <v>813</v>
      </c>
      <c r="L9" s="30">
        <v>817</v>
      </c>
      <c r="M9" s="30">
        <v>619</v>
      </c>
      <c r="N9" s="30">
        <v>1061</v>
      </c>
      <c r="O9" s="28">
        <f t="shared" si="0"/>
        <v>-0.27179135209334249</v>
      </c>
      <c r="P9" s="28">
        <f t="shared" si="1"/>
        <v>-0.112876254180602</v>
      </c>
      <c r="Q9" s="206"/>
    </row>
    <row r="10" spans="1:17" ht="18" customHeight="1">
      <c r="A10" s="172"/>
      <c r="B10" s="29" t="s">
        <v>190</v>
      </c>
      <c r="C10" s="30"/>
      <c r="D10" s="30">
        <v>19.429510116577148</v>
      </c>
      <c r="E10" s="30">
        <v>18.017879486083984</v>
      </c>
      <c r="F10" s="30">
        <v>21.395557403564453</v>
      </c>
      <c r="G10" s="30">
        <v>14.737035751342773</v>
      </c>
      <c r="H10" s="30">
        <v>13.656588554382324</v>
      </c>
      <c r="I10" s="30">
        <v>10.713748931884766</v>
      </c>
      <c r="J10" s="30">
        <v>10.218473434448242</v>
      </c>
      <c r="K10" s="30">
        <v>9.7602548599243164</v>
      </c>
      <c r="L10" s="30">
        <v>5.520963191986084</v>
      </c>
      <c r="M10" s="30">
        <v>5.6026568412780762</v>
      </c>
      <c r="N10" s="30">
        <v>8.3904953002929688</v>
      </c>
      <c r="O10" s="32">
        <f t="shared" si="0"/>
        <v>-0.56815713572035742</v>
      </c>
      <c r="P10" s="32">
        <f t="shared" si="1"/>
        <v>-0.17888955193569744</v>
      </c>
      <c r="Q10" s="206"/>
    </row>
    <row r="11" spans="1:17" ht="18" customHeight="1">
      <c r="A11" s="173" t="s">
        <v>191</v>
      </c>
      <c r="B11" s="33" t="s">
        <v>192</v>
      </c>
      <c r="C11" s="34"/>
      <c r="D11" s="34">
        <v>12.730500221252441</v>
      </c>
      <c r="E11" s="34">
        <v>12.117691993713379</v>
      </c>
      <c r="F11" s="34">
        <v>12.24864387512207</v>
      </c>
      <c r="G11" s="34">
        <v>12.565097808837891</v>
      </c>
      <c r="H11" s="34">
        <v>13.085762977600098</v>
      </c>
      <c r="I11" s="34">
        <v>11.747916221618652</v>
      </c>
      <c r="J11" s="34">
        <v>12.472884178161621</v>
      </c>
      <c r="K11" s="34">
        <v>12.226666450500488</v>
      </c>
      <c r="L11" s="34">
        <v>11.930000305175781</v>
      </c>
      <c r="M11" s="34">
        <v>12.737500190734863</v>
      </c>
      <c r="N11" s="34">
        <v>12.192940711975098</v>
      </c>
      <c r="O11" s="28">
        <f t="shared" si="0"/>
        <v>-4.2226110516846445E-2</v>
      </c>
      <c r="P11" s="28">
        <f t="shared" si="1"/>
        <v>-2.24441646525242E-2</v>
      </c>
      <c r="Q11" s="206"/>
    </row>
    <row r="12" spans="1:17" ht="18" customHeight="1">
      <c r="A12" s="174"/>
      <c r="B12" s="35" t="s">
        <v>184</v>
      </c>
      <c r="C12" s="30"/>
      <c r="D12" s="30">
        <v>131.39999389648438</v>
      </c>
      <c r="E12" s="30">
        <v>128.36923217773438</v>
      </c>
      <c r="F12" s="30">
        <v>132.86441040039063</v>
      </c>
      <c r="G12" s="30">
        <v>139.25489807128906</v>
      </c>
      <c r="H12" s="30">
        <v>152.74575805664063</v>
      </c>
      <c r="I12" s="30">
        <v>113.89583587646484</v>
      </c>
      <c r="J12" s="30">
        <v>143.15383911132813</v>
      </c>
      <c r="K12" s="30">
        <v>138.16667175292969</v>
      </c>
      <c r="L12" s="30">
        <v>138.86842346191406</v>
      </c>
      <c r="M12" s="30">
        <v>157.04167175292969</v>
      </c>
      <c r="N12" s="30">
        <v>131.82353210449219</v>
      </c>
      <c r="O12" s="28">
        <f t="shared" si="0"/>
        <v>3.2232741832657293E-3</v>
      </c>
      <c r="P12" s="28">
        <f t="shared" si="1"/>
        <v>-7.9147769121473338E-2</v>
      </c>
      <c r="Q12" s="206"/>
    </row>
    <row r="13" spans="1:17" ht="18" customHeight="1">
      <c r="A13" s="174"/>
      <c r="B13" s="35" t="s">
        <v>185</v>
      </c>
      <c r="C13" s="30"/>
      <c r="D13" s="30">
        <v>23.212499618530273</v>
      </c>
      <c r="E13" s="30">
        <v>18.276922225952148</v>
      </c>
      <c r="F13" s="30">
        <v>20.338983535766602</v>
      </c>
      <c r="G13" s="30">
        <v>25.627450942993164</v>
      </c>
      <c r="H13" s="30">
        <v>26.762712478637695</v>
      </c>
      <c r="I13" s="30">
        <v>15.375</v>
      </c>
      <c r="J13" s="30">
        <v>21.711538314819336</v>
      </c>
      <c r="K13" s="30">
        <v>18.928571701049805</v>
      </c>
      <c r="L13" s="30">
        <v>16.578947067260742</v>
      </c>
      <c r="M13" s="30">
        <v>29.0625</v>
      </c>
      <c r="N13" s="30">
        <v>18.411764144897461</v>
      </c>
      <c r="O13" s="28">
        <f t="shared" si="0"/>
        <v>-0.20681682509540852</v>
      </c>
      <c r="P13" s="28">
        <f t="shared" si="1"/>
        <v>-0.15198251372495311</v>
      </c>
      <c r="Q13" s="206"/>
    </row>
    <row r="14" spans="1:17" ht="18" customHeight="1">
      <c r="A14" s="174"/>
      <c r="B14" s="35" t="s">
        <v>186</v>
      </c>
      <c r="C14" s="30"/>
      <c r="D14" s="30">
        <v>117.82740783691406</v>
      </c>
      <c r="E14" s="30">
        <v>110.07686614990234</v>
      </c>
      <c r="F14" s="30">
        <v>115.20918273925781</v>
      </c>
      <c r="G14" s="30">
        <v>119.27252197265625</v>
      </c>
      <c r="H14" s="30">
        <v>131.93865966796875</v>
      </c>
      <c r="I14" s="30">
        <v>100.77861785888672</v>
      </c>
      <c r="J14" s="30">
        <v>122.34298706054688</v>
      </c>
      <c r="K14" s="30">
        <v>116.38240051269531</v>
      </c>
      <c r="L14" s="30">
        <v>114.06918334960938</v>
      </c>
      <c r="M14" s="30">
        <v>131.64204406738281</v>
      </c>
      <c r="N14" s="30">
        <v>114.00092315673828</v>
      </c>
      <c r="O14" s="28">
        <f t="shared" si="0"/>
        <v>-3.2475336175366361E-2</v>
      </c>
      <c r="P14" s="28">
        <f t="shared" si="1"/>
        <v>-6.8185877296588746E-2</v>
      </c>
      <c r="Q14" s="206"/>
    </row>
    <row r="15" spans="1:17" ht="18" customHeight="1">
      <c r="A15" s="174"/>
      <c r="B15" s="35" t="s">
        <v>187</v>
      </c>
      <c r="C15" s="31"/>
      <c r="D15" s="31">
        <v>45.388885498046875</v>
      </c>
      <c r="E15" s="31">
        <v>2.7567923069000244</v>
      </c>
      <c r="F15" s="31">
        <v>3.6769864559173584</v>
      </c>
      <c r="G15" s="31">
        <v>3.1320040225982666</v>
      </c>
      <c r="H15" s="31">
        <v>36.906028747558594</v>
      </c>
      <c r="I15" s="31">
        <v>2.271235466003418</v>
      </c>
      <c r="J15" s="31">
        <v>28.055072784423828</v>
      </c>
      <c r="K15" s="31">
        <v>2.5681262016296387</v>
      </c>
      <c r="L15" s="31">
        <v>2.0001735687255859</v>
      </c>
      <c r="M15" s="31">
        <v>1.7314125299453735</v>
      </c>
      <c r="N15" s="31">
        <v>1.7694078683853149</v>
      </c>
      <c r="O15" s="28">
        <f t="shared" si="0"/>
        <v>-0.96101671479769091</v>
      </c>
      <c r="P15" s="28">
        <f t="shared" si="1"/>
        <v>-0.93693091149748542</v>
      </c>
      <c r="Q15" s="206"/>
    </row>
    <row r="16" spans="1:17" ht="18" customHeight="1">
      <c r="A16" s="174"/>
      <c r="B16" s="35" t="s">
        <v>193</v>
      </c>
      <c r="C16" s="31"/>
      <c r="D16" s="31">
        <f ca="1">5.45859130859375*OFFSET(D$112,MATCH($N$1,$C$112:$C$113,0)-1,0)</f>
        <v>5.4585913085937499</v>
      </c>
      <c r="E16" s="31">
        <f ca="1">5.941716796875*OFFSET(E$112,MATCH($N$1,$C$112:$C$113,0)-1,0)</f>
        <v>5.9417167968750002</v>
      </c>
      <c r="F16" s="31">
        <f ca="1">5.329822265625*OFFSET(F$112,MATCH($N$1,$C$112:$C$113,0)-1,0)</f>
        <v>5.3298222656250003</v>
      </c>
      <c r="G16" s="31">
        <f ca="1">6.4448017578125*OFFSET(G$112,MATCH($N$1,$C$112:$C$113,0)-1,0)</f>
        <v>6.4448017578124999</v>
      </c>
      <c r="H16" s="31">
        <f ca="1">5.5621494140625*OFFSET(H$112,MATCH($N$1,$C$112:$C$113,0)-1,0)</f>
        <v>5.5621494140624996</v>
      </c>
      <c r="I16" s="31">
        <f ca="1">5.83875634765625*OFFSET(I$112,MATCH($N$1,$C$112:$C$113,0)-1,0)</f>
        <v>5.8387563476562496</v>
      </c>
      <c r="J16" s="31">
        <f ca="1">5.13885986328125*OFFSET(J$112,MATCH($N$1,$C$112:$C$113,0)-1,0)</f>
        <v>5.1388598632812501</v>
      </c>
      <c r="K16" s="31">
        <f ca="1">4.63813818359375*OFFSET(K$112,MATCH($N$1,$C$112:$C$113,0)-1,0)</f>
        <v>4.6381381835937496</v>
      </c>
      <c r="L16" s="31">
        <f ca="1">4.902427734375*OFFSET(L$112,MATCH($N$1,$C$112:$C$113,0)-1,0)</f>
        <v>4.9024277343750002</v>
      </c>
      <c r="M16" s="31">
        <f ca="1">4.22735009765625*OFFSET(M$112,MATCH($N$1,$C$112:$C$113,0)-1,0)</f>
        <v>4.2273500976562497</v>
      </c>
      <c r="N16" s="31">
        <v>4.1775263671875003</v>
      </c>
      <c r="O16" s="28">
        <f t="shared" ca="1" si="0"/>
        <v>-0.23468782859588722</v>
      </c>
      <c r="P16" s="28">
        <f t="shared" ca="1" si="1"/>
        <v>-0.18707135856394455</v>
      </c>
      <c r="Q16" s="206"/>
    </row>
    <row r="17" spans="1:16" ht="18" customHeight="1">
      <c r="A17" s="174"/>
      <c r="B17" s="35" t="s">
        <v>189</v>
      </c>
      <c r="C17" s="30"/>
      <c r="D17" s="30">
        <v>18.212499618530273</v>
      </c>
      <c r="E17" s="30">
        <v>18.953845977783203</v>
      </c>
      <c r="F17" s="30">
        <v>18.559322357177734</v>
      </c>
      <c r="G17" s="30">
        <v>20.607843399047852</v>
      </c>
      <c r="H17" s="30">
        <v>32.932205200195313</v>
      </c>
      <c r="I17" s="30">
        <v>22.166666030883789</v>
      </c>
      <c r="J17" s="30">
        <v>23</v>
      </c>
      <c r="K17" s="30">
        <v>19.357143402099609</v>
      </c>
      <c r="L17" s="30">
        <v>21.5</v>
      </c>
      <c r="M17" s="30">
        <v>12.895833015441895</v>
      </c>
      <c r="N17" s="30">
        <v>20.803920745849609</v>
      </c>
      <c r="O17" s="28">
        <f t="shared" si="0"/>
        <v>0.14228805389693458</v>
      </c>
      <c r="P17" s="28">
        <f t="shared" si="1"/>
        <v>-9.5481706702190902E-2</v>
      </c>
    </row>
    <row r="18" spans="1:16" ht="18" customHeight="1">
      <c r="A18" s="174"/>
      <c r="B18" s="35" t="s">
        <v>194</v>
      </c>
      <c r="C18" s="30"/>
      <c r="D18" s="30">
        <v>30.612499237060547</v>
      </c>
      <c r="E18" s="30">
        <v>30.799999237060547</v>
      </c>
      <c r="F18" s="30">
        <v>32.61016845703125</v>
      </c>
      <c r="G18" s="30">
        <v>33.803920745849609</v>
      </c>
      <c r="H18" s="30">
        <v>31.050848007202148</v>
      </c>
      <c r="I18" s="30">
        <v>36.3125</v>
      </c>
      <c r="J18" s="30">
        <v>34.269229888916016</v>
      </c>
      <c r="K18" s="30">
        <v>36.214286804199219</v>
      </c>
      <c r="L18" s="30">
        <v>35.684211730957031</v>
      </c>
      <c r="M18" s="30">
        <v>31.875</v>
      </c>
      <c r="N18" s="30">
        <v>36.333332061767578</v>
      </c>
      <c r="O18" s="28">
        <f t="shared" si="0"/>
        <v>0.1868789862730709</v>
      </c>
      <c r="P18" s="28">
        <f t="shared" si="1"/>
        <v>6.0231939251111456E-2</v>
      </c>
    </row>
    <row r="19" spans="1:16" ht="18" customHeight="1">
      <c r="A19" s="174"/>
      <c r="B19" s="35" t="s">
        <v>195</v>
      </c>
      <c r="C19" s="36"/>
      <c r="D19" s="36">
        <v>2.4921832084655762</v>
      </c>
      <c r="E19" s="36">
        <v>0.14544764161109924</v>
      </c>
      <c r="F19" s="36">
        <v>0.19812072813510895</v>
      </c>
      <c r="G19" s="36">
        <v>0.1519811600446701</v>
      </c>
      <c r="H19" s="36">
        <v>1.1206667423248291</v>
      </c>
      <c r="I19" s="36">
        <v>0.10246175527572632</v>
      </c>
      <c r="J19" s="36">
        <v>1.2197858095169067</v>
      </c>
      <c r="K19" s="36">
        <v>0.13267071545124054</v>
      </c>
      <c r="L19" s="36">
        <v>9.3031331896781921E-2</v>
      </c>
      <c r="M19" s="36">
        <v>0.13426139950752258</v>
      </c>
      <c r="N19" s="36">
        <v>8.5051655769348145E-2</v>
      </c>
      <c r="O19" s="28">
        <f t="shared" si="0"/>
        <v>-0.96587263108087706</v>
      </c>
      <c r="P19" s="28">
        <f t="shared" si="1"/>
        <v>-0.93027328641982432</v>
      </c>
    </row>
    <row r="20" spans="1:16" ht="18" customHeight="1">
      <c r="A20" s="175"/>
      <c r="B20" s="37" t="s">
        <v>196</v>
      </c>
      <c r="C20" s="38"/>
      <c r="D20" s="38">
        <f ca="1">120*OFFSET(D$112,MATCH($N$1,$C$112:$C$113,0)-1,0)</f>
        <v>120</v>
      </c>
      <c r="E20" s="38">
        <f ca="1">2155*OFFSET(E$112,MATCH($N$1,$C$112:$C$113,0)-1,0)</f>
        <v>2155</v>
      </c>
      <c r="F20" s="38">
        <f ca="1">1450*OFFSET(F$112,MATCH($N$1,$C$112:$C$113,0)-1,0)</f>
        <v>1450</v>
      </c>
      <c r="G20" s="38">
        <f ca="1">2058*OFFSET(G$112,MATCH($N$1,$C$112:$C$113,0)-1,0)</f>
        <v>2058</v>
      </c>
      <c r="H20" s="38">
        <f ca="1">151*OFFSET(H$112,MATCH($N$1,$C$112:$C$113,0)-1,0)</f>
        <v>151</v>
      </c>
      <c r="I20" s="38">
        <f ca="1">2571*OFFSET(I$112,MATCH($N$1,$C$112:$C$113,0)-1,0)</f>
        <v>2571</v>
      </c>
      <c r="J20" s="38">
        <f ca="1">183*OFFSET(J$112,MATCH($N$1,$C$112:$C$113,0)-1,0)</f>
        <v>183</v>
      </c>
      <c r="K20" s="38">
        <f ca="1">1806*OFFSET(K$112,MATCH($N$1,$C$112:$C$113,0)-1,0)</f>
        <v>1806</v>
      </c>
      <c r="L20" s="38">
        <f ca="1">2451*OFFSET(L$112,MATCH($N$1,$C$112:$C$113,0)-1,0)</f>
        <v>2451</v>
      </c>
      <c r="M20" s="38">
        <f ca="1">2442*OFFSET(M$112,MATCH($N$1,$C$112:$C$113,0)-1,0)</f>
        <v>2442</v>
      </c>
      <c r="N20" s="38">
        <v>2361</v>
      </c>
      <c r="O20" s="32">
        <f t="shared" ca="1" si="0"/>
        <v>18.675000000000001</v>
      </c>
      <c r="P20" s="32">
        <f t="shared" ca="1" si="1"/>
        <v>11.901639344262295</v>
      </c>
    </row>
    <row r="21" spans="1:16" ht="18" customHeight="1">
      <c r="A21" s="176" t="s">
        <v>197</v>
      </c>
      <c r="B21" s="33" t="s">
        <v>198</v>
      </c>
      <c r="C21" s="39"/>
      <c r="D21" s="39">
        <v>21.452606063039752</v>
      </c>
      <c r="E21" s="39">
        <v>1.3045581916520703</v>
      </c>
      <c r="F21" s="39">
        <v>1.6683498513075961</v>
      </c>
      <c r="G21" s="39">
        <v>1.2378215506561512</v>
      </c>
      <c r="H21" s="39">
        <v>8.7052615844053438</v>
      </c>
      <c r="I21" s="39">
        <v>1.0227430777529332</v>
      </c>
      <c r="J21" s="39">
        <v>10.54595221632928</v>
      </c>
      <c r="K21" s="39">
        <v>1.224611159022164</v>
      </c>
      <c r="L21" s="39">
        <v>0.9181647865833158</v>
      </c>
      <c r="M21" s="39">
        <v>0.98618524970952381</v>
      </c>
      <c r="N21" s="39">
        <v>0.59469233143003619</v>
      </c>
      <c r="O21" s="28">
        <f t="shared" si="0"/>
        <v>-0.97227878376722632</v>
      </c>
      <c r="P21" s="28">
        <f t="shared" si="1"/>
        <v>-0.94360942291116978</v>
      </c>
    </row>
    <row r="22" spans="1:16" ht="18" customHeight="1">
      <c r="A22" s="176"/>
      <c r="B22" s="35" t="s">
        <v>199</v>
      </c>
      <c r="C22" s="36"/>
      <c r="D22" s="36">
        <f ca="1">2.57994898348921*OFFSET(D$112,MATCH($N$1,$C$112:$C$113,0)-1,0)</f>
        <v>2.57994898348921</v>
      </c>
      <c r="E22" s="36">
        <f ca="1">2.81171537675837*OFFSET(E$112,MATCH($N$1,$C$112:$C$113,0)-1,0)</f>
        <v>2.8117153767583698</v>
      </c>
      <c r="F22" s="36">
        <f ca="1">2.41828690177564*OFFSET(F$112,MATCH($N$1,$C$112:$C$113,0)-1,0)</f>
        <v>2.4182869017756401</v>
      </c>
      <c r="G22" s="36">
        <f ca="1">2.54709586832169*OFFSET(G$112,MATCH($N$1,$C$112:$C$113,0)-1,0)</f>
        <v>2.5470958683216902</v>
      </c>
      <c r="H22" s="36">
        <f ca="1">1.31197983809526*OFFSET(H$112,MATCH($N$1,$C$112:$C$113,0)-1,0)</f>
        <v>1.3119798380952601</v>
      </c>
      <c r="I22" s="36">
        <f ca="1">2.62920675845172*OFFSET(I$112,MATCH($N$1,$C$112:$C$113,0)-1,0)</f>
        <v>2.62920675845172</v>
      </c>
      <c r="J22" s="36">
        <f ca="1">1.9317066464595*OFFSET(J$112,MATCH($N$1,$C$112:$C$113,0)-1,0)</f>
        <v>1.9317066464595001</v>
      </c>
      <c r="K22" s="36">
        <f ca="1">2.21169651752762*OFFSET(K$112,MATCH($N$1,$C$112:$C$113,0)-1,0)</f>
        <v>2.2116965175276202</v>
      </c>
      <c r="L22" s="36">
        <f ca="1">2.25042295571405*OFFSET(L$112,MATCH($N$1,$C$112:$C$113,0)-1,0)</f>
        <v>2.25042295571405</v>
      </c>
      <c r="M22" s="36">
        <f ca="1">2.40783189422699*OFFSET(M$112,MATCH($N$1,$C$112:$C$113,0)-1,0)</f>
        <v>2.4078318942269901</v>
      </c>
      <c r="N22" s="36">
        <v>1.4040532651074324</v>
      </c>
      <c r="O22" s="28">
        <f t="shared" ca="1" si="0"/>
        <v>-0.45578254682829289</v>
      </c>
      <c r="P22" s="28">
        <f t="shared" ca="1" si="1"/>
        <v>-0.2731539917405002</v>
      </c>
    </row>
    <row r="23" spans="1:16" ht="18" customHeight="1">
      <c r="A23" s="176"/>
      <c r="B23" s="35" t="s">
        <v>154</v>
      </c>
      <c r="C23" s="36"/>
      <c r="D23" s="36">
        <f ca="1">3.33115753098758*OFFSET(D$112,MATCH($N$1,$C$112:$C$113,0)-1,0)</f>
        <v>3.3311575309875798</v>
      </c>
      <c r="E23" s="36">
        <f ca="1">3.53113584429715*OFFSET(E$112,MATCH($N$1,$C$112:$C$113,0)-1,0)</f>
        <v>3.5311358442971499</v>
      </c>
      <c r="F23" s="36">
        <f ca="1">3.60779007792349*OFFSET(F$112,MATCH($N$1,$C$112:$C$113,0)-1,0)</f>
        <v>3.6077900779234899</v>
      </c>
      <c r="G23" s="36">
        <f ca="1">4.28524002467598*OFFSET(G$112,MATCH($N$1,$C$112:$C$113,0)-1,0)</f>
        <v>4.2852400246759803</v>
      </c>
      <c r="H23" s="36">
        <f ca="1">3.05939894648013*OFFSET(H$112,MATCH($N$1,$C$112:$C$113,0)-1,0)</f>
        <v>3.0593989464801301</v>
      </c>
      <c r="I23" s="36">
        <f ca="1">4.76336992297914*OFFSET(I$112,MATCH($N$1,$C$112:$C$113,0)-1,0)</f>
        <v>4.7633699229791402</v>
      </c>
      <c r="J23" s="36">
        <f ca="1">2.76290346463802*OFFSET(J$112,MATCH($N$1,$C$112:$C$113,0)-1,0)</f>
        <v>2.7629034646380202</v>
      </c>
      <c r="K23" s="36">
        <f ca="1">4.32851347753391*OFFSET(K$112,MATCH($N$1,$C$112:$C$113,0)-1,0)</f>
        <v>4.3285134775339102</v>
      </c>
      <c r="L23" s="36">
        <f ca="1">4.50773215214302*OFFSET(L$112,MATCH($N$1,$C$112:$C$113,0)-1,0)</f>
        <v>4.5077321521430198</v>
      </c>
      <c r="M23" s="36">
        <f ca="1">3.98390491767693*OFFSET(M$112,MATCH($N$1,$C$112:$C$113,0)-1,0)</f>
        <v>3.9839049176769299</v>
      </c>
      <c r="N23" s="36">
        <v>5.3219580100541855</v>
      </c>
      <c r="O23" s="28">
        <f t="shared" ca="1" si="0"/>
        <v>0.59763024130425857</v>
      </c>
      <c r="P23" s="28">
        <f t="shared" ca="1" si="1"/>
        <v>0.92621931173821814</v>
      </c>
    </row>
    <row r="24" spans="1:16" ht="18" customHeight="1">
      <c r="A24" s="176"/>
      <c r="B24" s="35" t="s">
        <v>155</v>
      </c>
      <c r="C24" s="36"/>
      <c r="D24" s="36">
        <f ca="1">-0.703947940819371*OFFSET(D$112,MATCH($N$1,$C$112:$C$113,0)-1,0)</f>
        <v>-0.70394794081937095</v>
      </c>
      <c r="E24" s="36">
        <f ca="1">-0.64975697424589*OFFSET(E$112,MATCH($N$1,$C$112:$C$113,0)-1,0)</f>
        <v>-0.64975697424588996</v>
      </c>
      <c r="F24" s="36">
        <f ca="1">-1.07019837838946*OFFSET(F$112,MATCH($N$1,$C$112:$C$113,0)-1,0)</f>
        <v>-1.07019837838946</v>
      </c>
      <c r="G24" s="36">
        <f ca="1">-1.66525555378445*OFFSET(G$112,MATCH($N$1,$C$112:$C$113,0)-1,0)</f>
        <v>-1.66525555378445</v>
      </c>
      <c r="H24" s="36">
        <f ca="1">-1.71435884979383*OFFSET(H$112,MATCH($N$1,$C$112:$C$113,0)-1,0)</f>
        <v>-1.71435884979383</v>
      </c>
      <c r="I24" s="36">
        <f ca="1">-1.93798379900324*OFFSET(I$112,MATCH($N$1,$C$112:$C$113,0)-1,0)</f>
        <v>-1.93798379900324</v>
      </c>
      <c r="J24" s="36">
        <f ca="1">-0.735106749777428*OFFSET(J$112,MATCH($N$1,$C$112:$C$113,0)-1,0)</f>
        <v>-0.73510674977742796</v>
      </c>
      <c r="K24" s="36">
        <f ca="1">-1.95179029493689*OFFSET(K$112,MATCH($N$1,$C$112:$C$113,0)-1,0)</f>
        <v>-1.9517902949368899</v>
      </c>
      <c r="L24" s="36">
        <f ca="1">-2.0893929341516*OFFSET(L$112,MATCH($N$1,$C$112:$C$113,0)-1,0)</f>
        <v>-2.0893929341516002</v>
      </c>
      <c r="M24" s="36">
        <f ca="1">-1.39641163334045*OFFSET(M$112,MATCH($N$1,$C$112:$C$113,0)-1,0)</f>
        <v>-1.3964116333404499</v>
      </c>
      <c r="N24" s="36">
        <v>-2.109624176322817</v>
      </c>
      <c r="O24" s="28">
        <f t="shared" ca="1" si="0"/>
        <v>-1.9968468603903973</v>
      </c>
      <c r="P24" s="28">
        <f t="shared" ca="1" si="1"/>
        <v>-1.8698201682429916</v>
      </c>
    </row>
    <row r="25" spans="1:16" ht="18" customHeight="1">
      <c r="A25" s="176"/>
      <c r="B25" s="35" t="s">
        <v>200</v>
      </c>
      <c r="C25" s="31"/>
      <c r="D25" s="31">
        <f ca="1">22.65*OFFSET(D$112,MATCH($N$1,$C$112:$C$113,0)-1,0)</f>
        <v>22.65</v>
      </c>
      <c r="E25" s="31">
        <f ca="1">21.28*OFFSET(E$112,MATCH($N$1,$C$112:$C$113,0)-1,0)</f>
        <v>21.28</v>
      </c>
      <c r="F25" s="31">
        <f ca="1">14.62*OFFSET(F$112,MATCH($N$1,$C$112:$C$113,0)-1,0)</f>
        <v>14.62</v>
      </c>
      <c r="G25" s="31">
        <f ca="1">22.15*OFFSET(G$112,MATCH($N$1,$C$112:$C$113,0)-1,0)</f>
        <v>22.15</v>
      </c>
      <c r="H25" s="31">
        <f ca="1">24.19*OFFSET(H$112,MATCH($N$1,$C$112:$C$113,0)-1,0)</f>
        <v>24.19</v>
      </c>
      <c r="I25" s="31">
        <f ca="1">25.99*OFFSET(I$112,MATCH($N$1,$C$112:$C$113,0)-1,0)</f>
        <v>25.99</v>
      </c>
      <c r="J25" s="31">
        <f ca="1">25.95*OFFSET(J$112,MATCH($N$1,$C$112:$C$113,0)-1,0)</f>
        <v>25.95</v>
      </c>
      <c r="K25" s="31">
        <f ca="1">19.79*OFFSET(K$112,MATCH($N$1,$C$112:$C$113,0)-1,0)</f>
        <v>19.79</v>
      </c>
      <c r="L25" s="31">
        <f ca="1">33.73*OFFSET(L$112,MATCH($N$1,$C$112:$C$113,0)-1,0)</f>
        <v>33.729999999999997</v>
      </c>
      <c r="M25" s="31">
        <f ca="1">35.98*OFFSET(M$112,MATCH($N$1,$C$112:$C$113,0)-1,0)</f>
        <v>35.979999999999997</v>
      </c>
      <c r="N25" s="31">
        <v>25.53</v>
      </c>
      <c r="O25" s="28">
        <f t="shared" ca="1" si="0"/>
        <v>0.12715231788079481</v>
      </c>
      <c r="P25" s="28">
        <f t="shared" ca="1" si="1"/>
        <v>-1.6184971098265825E-2</v>
      </c>
    </row>
    <row r="26" spans="1:16" ht="18" customHeight="1">
      <c r="A26" s="177"/>
      <c r="B26" s="35" t="s">
        <v>201</v>
      </c>
      <c r="C26" s="31"/>
      <c r="D26" s="31">
        <f ca="1">-6.18*OFFSET(D$112,MATCH($N$1,$C$112:$C$113,0)-1,0)</f>
        <v>-6.18</v>
      </c>
      <c r="E26" s="31">
        <f ca="1">-5.05*OFFSET(E$112,MATCH($N$1,$C$112:$C$113,0)-1,0)</f>
        <v>-5.05</v>
      </c>
      <c r="F26" s="31">
        <f ca="1">-6.62*OFFSET(F$112,MATCH($N$1,$C$112:$C$113,0)-1,0)</f>
        <v>-6.62</v>
      </c>
      <c r="G26" s="31">
        <f ca="1">-14.53*OFFSET(G$112,MATCH($N$1,$C$112:$C$113,0)-1,0)</f>
        <v>-14.53</v>
      </c>
      <c r="H26" s="31">
        <f ca="1">-31.54*OFFSET(H$112,MATCH($N$1,$C$112:$C$113,0)-1,0)</f>
        <v>-31.54</v>
      </c>
      <c r="I26" s="31">
        <f ca="1">-19.26*OFFSET(I$112,MATCH($N$1,$C$112:$C$113,0)-1,0)</f>
        <v>-19.260000000000002</v>
      </c>
      <c r="J26" s="31">
        <f ca="1">-10.18*OFFSET(J$112,MATCH($N$1,$C$112:$C$113,0)-1,0)</f>
        <v>-10.18</v>
      </c>
      <c r="K26" s="31">
        <f ca="1">-17.64*OFFSET(K$112,MATCH($N$1,$C$112:$C$113,0)-1,0)</f>
        <v>-17.64</v>
      </c>
      <c r="L26" s="31">
        <f ca="1">-31.66*OFFSET(L$112,MATCH($N$1,$C$112:$C$113,0)-1,0)</f>
        <v>-31.66</v>
      </c>
      <c r="M26" s="31">
        <f ca="1">-21.42*OFFSET(M$112,MATCH($N$1,$C$112:$C$113,0)-1,0)</f>
        <v>-21.42</v>
      </c>
      <c r="N26" s="31">
        <v>-38.29</v>
      </c>
      <c r="O26" s="32">
        <f t="shared" ca="1" si="0"/>
        <v>-5.1957928802588995</v>
      </c>
      <c r="P26" s="32">
        <f t="shared" ca="1" si="1"/>
        <v>-2.7612966601178783</v>
      </c>
    </row>
    <row r="27" spans="1:16" ht="18" customHeight="1">
      <c r="A27" s="166" t="s">
        <v>202</v>
      </c>
      <c r="B27" s="33" t="s">
        <v>193</v>
      </c>
      <c r="C27" s="34"/>
      <c r="D27" s="34">
        <f ca="1">5.5*OFFSET(D$112,MATCH($N$1,$C$112:$C$113,0)-1,0)</f>
        <v>5.5</v>
      </c>
      <c r="E27" s="34">
        <f ca="1">5.9*OFFSET(E$112,MATCH($N$1,$C$112:$C$113,0)-1,0)</f>
        <v>5.9</v>
      </c>
      <c r="F27" s="34">
        <f ca="1">5.3*OFFSET(F$112,MATCH($N$1,$C$112:$C$113,0)-1,0)</f>
        <v>5.3</v>
      </c>
      <c r="G27" s="34">
        <f ca="1">6.4*OFFSET(G$112,MATCH($N$1,$C$112:$C$113,0)-1,0)</f>
        <v>6.4</v>
      </c>
      <c r="H27" s="34">
        <f ca="1">5.6*OFFSET(H$112,MATCH($N$1,$C$112:$C$113,0)-1,0)</f>
        <v>5.6</v>
      </c>
      <c r="I27" s="34">
        <f ca="1">5.8*OFFSET(I$112,MATCH($N$1,$C$112:$C$113,0)-1,0)</f>
        <v>5.8</v>
      </c>
      <c r="J27" s="34">
        <f ca="1">5.1*OFFSET(J$112,MATCH($N$1,$C$112:$C$113,0)-1,0)</f>
        <v>5.0999999999999996</v>
      </c>
      <c r="K27" s="34">
        <f ca="1">4.6*OFFSET(K$112,MATCH($N$1,$C$112:$C$113,0)-1,0)</f>
        <v>4.5999999999999996</v>
      </c>
      <c r="L27" s="34">
        <f ca="1">4.9*OFFSET(L$112,MATCH($N$1,$C$112:$C$113,0)-1,0)</f>
        <v>4.9000000000000004</v>
      </c>
      <c r="M27" s="34">
        <f ca="1">4.2*OFFSET(M$112,MATCH($N$1,$C$112:$C$113,0)-1,0)</f>
        <v>4.2</v>
      </c>
      <c r="N27" s="34">
        <v>4.2</v>
      </c>
      <c r="O27" s="28">
        <f t="shared" ca="1" si="0"/>
        <v>-0.23636363636363633</v>
      </c>
      <c r="P27" s="28">
        <f t="shared" ca="1" si="1"/>
        <v>-0.17647058823529402</v>
      </c>
    </row>
    <row r="28" spans="1:16" ht="18" customHeight="1">
      <c r="A28" s="178"/>
      <c r="B28" s="35" t="s">
        <v>203</v>
      </c>
      <c r="C28" s="31"/>
      <c r="D28" s="31">
        <f ca="1">0.1*OFFSET(D$112,MATCH($N$1,$C$112:$C$113,0)-1,0)</f>
        <v>0.1</v>
      </c>
      <c r="E28" s="31">
        <f ca="1">0.1*OFFSET(E$112,MATCH($N$1,$C$112:$C$113,0)-1,0)</f>
        <v>0.1</v>
      </c>
      <c r="F28" s="31">
        <f ca="1">0.3*OFFSET(F$112,MATCH($N$1,$C$112:$C$113,0)-1,0)</f>
        <v>0.3</v>
      </c>
      <c r="G28" s="31">
        <f ca="1">0.2*OFFSET(G$112,MATCH($N$1,$C$112:$C$113,0)-1,0)</f>
        <v>0.2</v>
      </c>
      <c r="H28" s="31">
        <f ca="1">0.1*OFFSET(H$112,MATCH($N$1,$C$112:$C$113,0)-1,0)</f>
        <v>0.1</v>
      </c>
      <c r="I28" s="31">
        <f ca="1">0.4*OFFSET(I$112,MATCH($N$1,$C$112:$C$113,0)-1,0)</f>
        <v>0.4</v>
      </c>
      <c r="J28" s="31">
        <f ca="1">0.3*OFFSET(J$112,MATCH($N$1,$C$112:$C$113,0)-1,0)</f>
        <v>0.3</v>
      </c>
      <c r="K28" s="31">
        <f ca="1">0.3*OFFSET(K$112,MATCH($N$1,$C$112:$C$113,0)-1,0)</f>
        <v>0.3</v>
      </c>
      <c r="L28" s="31">
        <f ca="1">0.4*OFFSET(L$112,MATCH($N$1,$C$112:$C$113,0)-1,0)</f>
        <v>0.4</v>
      </c>
      <c r="M28" s="31">
        <f ca="1">0.3*OFFSET(M$112,MATCH($N$1,$C$112:$C$113,0)-1,0)</f>
        <v>0.3</v>
      </c>
      <c r="N28" s="31">
        <v>5.4</v>
      </c>
      <c r="O28" s="28">
        <f t="shared" ca="1" si="0"/>
        <v>53.000000000000007</v>
      </c>
      <c r="P28" s="28">
        <f t="shared" ca="1" si="1"/>
        <v>17.000000000000004</v>
      </c>
    </row>
    <row r="29" spans="1:16" ht="18" customHeight="1">
      <c r="A29" s="178"/>
      <c r="B29" s="40" t="s">
        <v>204</v>
      </c>
      <c r="C29" s="41"/>
      <c r="D29" s="41">
        <f ca="1">5.6*OFFSET(D$112,MATCH($N$1,$C$112:$C$113,0)-1,0)</f>
        <v>5.6</v>
      </c>
      <c r="E29" s="41">
        <f ca="1">6.1*OFFSET(E$112,MATCH($N$1,$C$112:$C$113,0)-1,0)</f>
        <v>6.1</v>
      </c>
      <c r="F29" s="41">
        <f ca="1">5.6*OFFSET(F$112,MATCH($N$1,$C$112:$C$113,0)-1,0)</f>
        <v>5.6</v>
      </c>
      <c r="G29" s="41">
        <f ca="1">6.6*OFFSET(G$112,MATCH($N$1,$C$112:$C$113,0)-1,0)</f>
        <v>6.6</v>
      </c>
      <c r="H29" s="41">
        <f ca="1">5.7*OFFSET(H$112,MATCH($N$1,$C$112:$C$113,0)-1,0)</f>
        <v>5.7</v>
      </c>
      <c r="I29" s="41">
        <f ca="1">6.3*OFFSET(I$112,MATCH($N$1,$C$112:$C$113,0)-1,0)</f>
        <v>6.3</v>
      </c>
      <c r="J29" s="41">
        <f ca="1">5.4*OFFSET(J$112,MATCH($N$1,$C$112:$C$113,0)-1,0)</f>
        <v>5.4</v>
      </c>
      <c r="K29" s="41">
        <f ca="1">5*OFFSET(K$112,MATCH($N$1,$C$112:$C$113,0)-1,0)</f>
        <v>5</v>
      </c>
      <c r="L29" s="41">
        <f ca="1">5.3*OFFSET(L$112,MATCH($N$1,$C$112:$C$113,0)-1,0)</f>
        <v>5.3</v>
      </c>
      <c r="M29" s="41">
        <f ca="1">4.5*OFFSET(M$112,MATCH($N$1,$C$112:$C$113,0)-1,0)</f>
        <v>4.5</v>
      </c>
      <c r="N29" s="41">
        <v>9.6</v>
      </c>
      <c r="O29" s="28">
        <f t="shared" ca="1" si="0"/>
        <v>0.7142857142857143</v>
      </c>
      <c r="P29" s="28">
        <f t="shared" ca="1" si="1"/>
        <v>0.77777777777777757</v>
      </c>
    </row>
    <row r="30" spans="1:16" ht="18" customHeight="1">
      <c r="A30" s="178"/>
      <c r="B30" s="35" t="s">
        <v>205</v>
      </c>
      <c r="C30" s="31"/>
      <c r="D30" s="31">
        <f ca="1">3.4*OFFSET(D$112,MATCH($N$1,$C$112:$C$113,0)-1,0)</f>
        <v>3.4</v>
      </c>
      <c r="E30" s="31">
        <f ca="1">4.4*OFFSET(E$112,MATCH($N$1,$C$112:$C$113,0)-1,0)</f>
        <v>4.4000000000000004</v>
      </c>
      <c r="F30" s="31">
        <f ca="1">5.1*OFFSET(F$112,MATCH($N$1,$C$112:$C$113,0)-1,0)</f>
        <v>5.0999999999999996</v>
      </c>
      <c r="G30" s="31">
        <f ca="1">5.6*OFFSET(G$112,MATCH($N$1,$C$112:$C$113,0)-1,0)</f>
        <v>5.6</v>
      </c>
      <c r="H30" s="31">
        <f ca="1">7.7*OFFSET(H$112,MATCH($N$1,$C$112:$C$113,0)-1,0)</f>
        <v>7.7</v>
      </c>
      <c r="I30" s="31">
        <f ca="1">3.3*OFFSET(I$112,MATCH($N$1,$C$112:$C$113,0)-1,0)</f>
        <v>3.3</v>
      </c>
      <c r="J30" s="31">
        <f ca="1">3.5*OFFSET(J$112,MATCH($N$1,$C$112:$C$113,0)-1,0)</f>
        <v>3.5</v>
      </c>
      <c r="K30" s="31">
        <f ca="1">3.3*OFFSET(K$112,MATCH($N$1,$C$112:$C$113,0)-1,0)</f>
        <v>3.3</v>
      </c>
      <c r="L30" s="31">
        <f ca="1">3.7*OFFSET(L$112,MATCH($N$1,$C$112:$C$113,0)-1,0)</f>
        <v>3.7</v>
      </c>
      <c r="M30" s="31">
        <f ca="1">2.7*OFFSET(M$112,MATCH($N$1,$C$112:$C$113,0)-1,0)</f>
        <v>2.7</v>
      </c>
      <c r="N30" s="31">
        <v>3.2</v>
      </c>
      <c r="O30" s="28">
        <f t="shared" ca="1" si="0"/>
        <v>-5.8823529411764629E-2</v>
      </c>
      <c r="P30" s="28">
        <f t="shared" ca="1" si="1"/>
        <v>-8.571428571428566E-2</v>
      </c>
    </row>
    <row r="31" spans="1:16" ht="18" customHeight="1">
      <c r="A31" s="178"/>
      <c r="B31" s="35" t="s">
        <v>206</v>
      </c>
      <c r="C31" s="31"/>
      <c r="D31" s="31">
        <f ca="1">1.5*OFFSET(D$112,MATCH($N$1,$C$112:$C$113,0)-1,0)</f>
        <v>1.5</v>
      </c>
      <c r="E31" s="31">
        <f ca="1">0.7*OFFSET(E$112,MATCH($N$1,$C$112:$C$113,0)-1,0)</f>
        <v>0.7</v>
      </c>
      <c r="F31" s="31">
        <f ca="1">1.1*OFFSET(F$112,MATCH($N$1,$C$112:$C$113,0)-1,0)</f>
        <v>1.1000000000000001</v>
      </c>
      <c r="G31" s="31">
        <f ca="1">1*OFFSET(G$112,MATCH($N$1,$C$112:$C$113,0)-1,0)</f>
        <v>1</v>
      </c>
      <c r="H31" s="31">
        <f ca="1">1.9*OFFSET(H$112,MATCH($N$1,$C$112:$C$113,0)-1,0)</f>
        <v>1.9</v>
      </c>
      <c r="I31" s="31">
        <f ca="1">2*OFFSET(I$112,MATCH($N$1,$C$112:$C$113,0)-1,0)</f>
        <v>2</v>
      </c>
      <c r="J31" s="31">
        <f ca="1">0.3*OFFSET(J$112,MATCH($N$1,$C$112:$C$113,0)-1,0)</f>
        <v>0.3</v>
      </c>
      <c r="K31" s="31">
        <f ca="1">1.6*OFFSET(K$112,MATCH($N$1,$C$112:$C$113,0)-1,0)</f>
        <v>1.6</v>
      </c>
      <c r="L31" s="31">
        <f ca="1">1.7*OFFSET(L$112,MATCH($N$1,$C$112:$C$113,0)-1,0)</f>
        <v>1.7</v>
      </c>
      <c r="M31" s="31">
        <f ca="1">0.5*OFFSET(M$112,MATCH($N$1,$C$112:$C$113,0)-1,0)</f>
        <v>0.5</v>
      </c>
      <c r="N31" s="31">
        <v>1.5</v>
      </c>
      <c r="O31" s="28">
        <f t="shared" ca="1" si="0"/>
        <v>0</v>
      </c>
      <c r="P31" s="28">
        <f t="shared" ca="1" si="1"/>
        <v>4</v>
      </c>
    </row>
    <row r="32" spans="1:16" ht="18" customHeight="1">
      <c r="A32" s="178"/>
      <c r="B32" s="35" t="s">
        <v>207</v>
      </c>
      <c r="C32" s="31"/>
      <c r="D32" s="31">
        <f ca="1">1.2*OFFSET(D$112,MATCH($N$1,$C$112:$C$113,0)-1,0)</f>
        <v>1.2</v>
      </c>
      <c r="E32" s="31">
        <f ca="1">1.1*OFFSET(E$112,MATCH($N$1,$C$112:$C$113,0)-1,0)</f>
        <v>1.1000000000000001</v>
      </c>
      <c r="F32" s="31">
        <f ca="1">0.7*OFFSET(F$112,MATCH($N$1,$C$112:$C$113,0)-1,0)</f>
        <v>0.7</v>
      </c>
      <c r="G32" s="31">
        <f ca="1">3*OFFSET(G$112,MATCH($N$1,$C$112:$C$113,0)-1,0)</f>
        <v>3</v>
      </c>
      <c r="H32" s="31">
        <f ca="1">1.3*OFFSET(H$112,MATCH($N$1,$C$112:$C$113,0)-1,0)</f>
        <v>1.3</v>
      </c>
      <c r="I32" s="31">
        <f ca="1">1.9*OFFSET(I$112,MATCH($N$1,$C$112:$C$113,0)-1,0)</f>
        <v>1.9</v>
      </c>
      <c r="J32" s="31">
        <f ca="1">1.4*OFFSET(J$112,MATCH($N$1,$C$112:$C$113,0)-1,0)</f>
        <v>1.4</v>
      </c>
      <c r="K32" s="31">
        <f ca="1">1.5*OFFSET(K$112,MATCH($N$1,$C$112:$C$113,0)-1,0)</f>
        <v>1.5</v>
      </c>
      <c r="L32" s="31">
        <f ca="1">1.6*OFFSET(L$112,MATCH($N$1,$C$112:$C$113,0)-1,0)</f>
        <v>1.6</v>
      </c>
      <c r="M32" s="31">
        <f ca="1">1.4*OFFSET(M$112,MATCH($N$1,$C$112:$C$113,0)-1,0)</f>
        <v>1.4</v>
      </c>
      <c r="N32" s="31">
        <v>1.3</v>
      </c>
      <c r="O32" s="28">
        <f t="shared" ca="1" si="0"/>
        <v>8.3333333333333412E-2</v>
      </c>
      <c r="P32" s="28">
        <f t="shared" ca="1" si="1"/>
        <v>-7.1428571428571341E-2</v>
      </c>
    </row>
    <row r="33" spans="1:16" ht="18" customHeight="1">
      <c r="A33" s="178"/>
      <c r="B33" s="35" t="s">
        <v>208</v>
      </c>
      <c r="C33" s="31"/>
      <c r="D33" s="31">
        <f ca="1">6.1*OFFSET(D$112,MATCH($N$1,$C$112:$C$113,0)-1,0)</f>
        <v>6.1</v>
      </c>
      <c r="E33" s="31">
        <f ca="1">6.2*OFFSET(E$112,MATCH($N$1,$C$112:$C$113,0)-1,0)</f>
        <v>6.2</v>
      </c>
      <c r="F33" s="31">
        <f ca="1">6.9*OFFSET(F$112,MATCH($N$1,$C$112:$C$113,0)-1,0)</f>
        <v>6.9</v>
      </c>
      <c r="G33" s="31">
        <f ca="1">9.7*OFFSET(G$112,MATCH($N$1,$C$112:$C$113,0)-1,0)</f>
        <v>9.6999999999999993</v>
      </c>
      <c r="H33" s="31">
        <f ca="1">10.9*OFFSET(H$112,MATCH($N$1,$C$112:$C$113,0)-1,0)</f>
        <v>10.9</v>
      </c>
      <c r="I33" s="31">
        <f ca="1">7.2*OFFSET(I$112,MATCH($N$1,$C$112:$C$113,0)-1,0)</f>
        <v>7.2</v>
      </c>
      <c r="J33" s="31">
        <f ca="1">5.2*OFFSET(J$112,MATCH($N$1,$C$112:$C$113,0)-1,0)</f>
        <v>5.2</v>
      </c>
      <c r="K33" s="31">
        <f ca="1">6.4*OFFSET(K$112,MATCH($N$1,$C$112:$C$113,0)-1,0)</f>
        <v>6.4</v>
      </c>
      <c r="L33" s="31">
        <f ca="1">7*OFFSET(L$112,MATCH($N$1,$C$112:$C$113,0)-1,0)</f>
        <v>7</v>
      </c>
      <c r="M33" s="31">
        <f ca="1">4.5*OFFSET(M$112,MATCH($N$1,$C$112:$C$113,0)-1,0)</f>
        <v>4.5</v>
      </c>
      <c r="N33" s="31">
        <v>6</v>
      </c>
      <c r="O33" s="28">
        <f t="shared" ca="1" si="0"/>
        <v>-1.6393442622950762E-2</v>
      </c>
      <c r="P33" s="28">
        <f t="shared" ca="1" si="1"/>
        <v>0.1538461538461538</v>
      </c>
    </row>
    <row r="34" spans="1:16" ht="18" customHeight="1">
      <c r="A34" s="178"/>
      <c r="B34" s="35" t="s">
        <v>209</v>
      </c>
      <c r="C34" s="31"/>
      <c r="D34" s="31">
        <f ca="1">0.9*OFFSET(D$112,MATCH($N$1,$C$112:$C$113,0)-1,0)</f>
        <v>0.9</v>
      </c>
      <c r="E34" s="31">
        <f ca="1">1.2*OFFSET(E$112,MATCH($N$1,$C$112:$C$113,0)-1,0)</f>
        <v>1.2</v>
      </c>
      <c r="F34" s="31">
        <f ca="1">1.1*OFFSET(F$112,MATCH($N$1,$C$112:$C$113,0)-1,0)</f>
        <v>1.1000000000000001</v>
      </c>
      <c r="G34" s="31">
        <f ca="1">1.2*OFFSET(G$112,MATCH($N$1,$C$112:$C$113,0)-1,0)</f>
        <v>1.2</v>
      </c>
      <c r="H34" s="31">
        <f ca="1">2.1*OFFSET(H$112,MATCH($N$1,$C$112:$C$113,0)-1,0)</f>
        <v>2.1</v>
      </c>
      <c r="I34" s="31">
        <f ca="1">3.4*OFFSET(I$112,MATCH($N$1,$C$112:$C$113,0)-1,0)</f>
        <v>3.4</v>
      </c>
      <c r="J34" s="31">
        <f ca="1">2.2*OFFSET(J$112,MATCH($N$1,$C$112:$C$113,0)-1,0)</f>
        <v>2.2000000000000002</v>
      </c>
      <c r="K34" s="31">
        <f ca="1">2.7*OFFSET(K$112,MATCH($N$1,$C$112:$C$113,0)-1,0)</f>
        <v>2.7</v>
      </c>
      <c r="L34" s="31">
        <f ca="1">2.8*OFFSET(L$112,MATCH($N$1,$C$112:$C$113,0)-1,0)</f>
        <v>2.8</v>
      </c>
      <c r="M34" s="31">
        <f ca="1">2.4*OFFSET(M$112,MATCH($N$1,$C$112:$C$113,0)-1,0)</f>
        <v>2.4</v>
      </c>
      <c r="N34" s="31">
        <v>9.8000000000000007</v>
      </c>
      <c r="O34" s="28">
        <f t="shared" ca="1" si="0"/>
        <v>9.8888888888888893</v>
      </c>
      <c r="P34" s="28">
        <f t="shared" ca="1" si="1"/>
        <v>3.4545454545454546</v>
      </c>
    </row>
    <row r="35" spans="1:16" ht="18" customHeight="1">
      <c r="A35" s="178"/>
      <c r="B35" s="35" t="s">
        <v>210</v>
      </c>
      <c r="C35" s="31"/>
      <c r="D35" s="31">
        <f ca="1">7*OFFSET(D$112,MATCH($N$1,$C$112:$C$113,0)-1,0)</f>
        <v>7</v>
      </c>
      <c r="E35" s="31">
        <f ca="1">7.5*OFFSET(E$112,MATCH($N$1,$C$112:$C$113,0)-1,0)</f>
        <v>7.5</v>
      </c>
      <c r="F35" s="31">
        <f ca="1">8*OFFSET(F$112,MATCH($N$1,$C$112:$C$113,0)-1,0)</f>
        <v>8</v>
      </c>
      <c r="G35" s="31">
        <f ca="1">10.8*OFFSET(G$112,MATCH($N$1,$C$112:$C$113,0)-1,0)</f>
        <v>10.8</v>
      </c>
      <c r="H35" s="31">
        <f ca="1">13*OFFSET(H$112,MATCH($N$1,$C$112:$C$113,0)-1,0)</f>
        <v>13</v>
      </c>
      <c r="I35" s="31">
        <f ca="1">10.6*OFFSET(I$112,MATCH($N$1,$C$112:$C$113,0)-1,0)</f>
        <v>10.6</v>
      </c>
      <c r="J35" s="31">
        <f ca="1">7.4*OFFSET(J$112,MATCH($N$1,$C$112:$C$113,0)-1,0)</f>
        <v>7.4</v>
      </c>
      <c r="K35" s="31">
        <f ca="1">9.1*OFFSET(K$112,MATCH($N$1,$C$112:$C$113,0)-1,0)</f>
        <v>9.1</v>
      </c>
      <c r="L35" s="31">
        <f ca="1">9.8*OFFSET(L$112,MATCH($N$1,$C$112:$C$113,0)-1,0)</f>
        <v>9.8000000000000007</v>
      </c>
      <c r="M35" s="31">
        <f ca="1">7*OFFSET(M$112,MATCH($N$1,$C$112:$C$113,0)-1,0)</f>
        <v>7</v>
      </c>
      <c r="N35" s="31">
        <v>15.8</v>
      </c>
      <c r="O35" s="28">
        <f t="shared" ca="1" si="0"/>
        <v>1.2571428571428573</v>
      </c>
      <c r="P35" s="28">
        <f t="shared" ca="1" si="1"/>
        <v>1.1351351351351351</v>
      </c>
    </row>
    <row r="36" spans="1:16" ht="18" customHeight="1">
      <c r="A36" s="178"/>
      <c r="B36" s="40" t="s">
        <v>211</v>
      </c>
      <c r="C36" s="41"/>
      <c r="D36" s="41"/>
      <c r="E36" s="41">
        <f ca="1">-0.7*OFFSET(E$112,MATCH($N$1,$C$112:$C$113,0)-1,0)</f>
        <v>-0.7</v>
      </c>
      <c r="F36" s="41">
        <f ca="1">-1.3*OFFSET(F$112,MATCH($N$1,$C$112:$C$113,0)-1,0)</f>
        <v>-1.3</v>
      </c>
      <c r="G36" s="41">
        <f ca="1">-3.2*OFFSET(G$112,MATCH($N$1,$C$112:$C$113,0)-1,0)</f>
        <v>-3.2</v>
      </c>
      <c r="H36" s="41">
        <f ca="1">-5.4*OFFSET(H$112,MATCH($N$1,$C$112:$C$113,0)-1,0)</f>
        <v>-5.4</v>
      </c>
      <c r="I36" s="41">
        <f ca="1">-2.3*OFFSET(I$112,MATCH($N$1,$C$112:$C$113,0)-1,0)</f>
        <v>-2.2999999999999998</v>
      </c>
      <c r="J36" s="41">
        <f ca="1">-1.7*OFFSET(J$112,MATCH($N$1,$C$112:$C$113,0)-1,0)</f>
        <v>-1.7</v>
      </c>
      <c r="K36" s="41">
        <f ca="1">-2.5*OFFSET(K$112,MATCH($N$1,$C$112:$C$113,0)-1,0)</f>
        <v>-2.5</v>
      </c>
      <c r="L36" s="41">
        <f ca="1">-2.9*OFFSET(L$112,MATCH($N$1,$C$112:$C$113,0)-1,0)</f>
        <v>-2.9</v>
      </c>
      <c r="M36" s="41">
        <f ca="1">-2*OFFSET(M$112,MATCH($N$1,$C$112:$C$113,0)-1,0)</f>
        <v>-2</v>
      </c>
      <c r="N36" s="41">
        <v>-4.8</v>
      </c>
      <c r="O36" s="28" t="str">
        <f t="shared" si="0"/>
        <v/>
      </c>
      <c r="P36" s="28">
        <f t="shared" ca="1" si="1"/>
        <v>-1.8235294117647056</v>
      </c>
    </row>
    <row r="37" spans="1:16" ht="18" customHeight="1">
      <c r="A37" s="178"/>
      <c r="B37" s="40" t="s">
        <v>212</v>
      </c>
      <c r="C37" s="41"/>
      <c r="D37" s="41">
        <f ca="1">-1.5*OFFSET(D$112,MATCH($N$1,$C$112:$C$113,0)-1,0)</f>
        <v>-1.5</v>
      </c>
      <c r="E37" s="41">
        <f ca="1">-1.4*OFFSET(E$112,MATCH($N$1,$C$112:$C$113,0)-1,0)</f>
        <v>-1.4</v>
      </c>
      <c r="F37" s="41">
        <f ca="1">-2.4*OFFSET(F$112,MATCH($N$1,$C$112:$C$113,0)-1,0)</f>
        <v>-2.4</v>
      </c>
      <c r="G37" s="41">
        <f ca="1">-4.2*OFFSET(G$112,MATCH($N$1,$C$112:$C$113,0)-1,0)</f>
        <v>-4.2</v>
      </c>
      <c r="H37" s="41">
        <f ca="1">-7.3*OFFSET(H$112,MATCH($N$1,$C$112:$C$113,0)-1,0)</f>
        <v>-7.3</v>
      </c>
      <c r="I37" s="41">
        <f ca="1">-4.3*OFFSET(I$112,MATCH($N$1,$C$112:$C$113,0)-1,0)</f>
        <v>-4.3</v>
      </c>
      <c r="J37" s="41">
        <f ca="1">-2*OFFSET(J$112,MATCH($N$1,$C$112:$C$113,0)-1,0)</f>
        <v>-2</v>
      </c>
      <c r="K37" s="41">
        <f ca="1">-4.1*OFFSET(K$112,MATCH($N$1,$C$112:$C$113,0)-1,0)</f>
        <v>-4.0999999999999996</v>
      </c>
      <c r="L37" s="41">
        <f ca="1">-4.6*OFFSET(L$112,MATCH($N$1,$C$112:$C$113,0)-1,0)</f>
        <v>-4.5999999999999996</v>
      </c>
      <c r="M37" s="41">
        <f ca="1">-2.5*OFFSET(M$112,MATCH($N$1,$C$112:$C$113,0)-1,0)</f>
        <v>-2.5</v>
      </c>
      <c r="N37" s="41">
        <v>-6.3</v>
      </c>
      <c r="O37" s="28">
        <f t="shared" ca="1" si="0"/>
        <v>-3.1999999999999997</v>
      </c>
      <c r="P37" s="28">
        <f t="shared" ca="1" si="1"/>
        <v>-2.15</v>
      </c>
    </row>
    <row r="38" spans="1:16" ht="18" customHeight="1">
      <c r="A38" s="178"/>
      <c r="B38" s="35" t="s">
        <v>213</v>
      </c>
      <c r="C38" s="31"/>
      <c r="D38" s="31">
        <f ca="1">0.4*OFFSET(D$112,MATCH($N$1,$C$112:$C$113,0)-1,0)</f>
        <v>0.4</v>
      </c>
      <c r="E38" s="31">
        <f ca="1">0.3*OFFSET(E$112,MATCH($N$1,$C$112:$C$113,0)-1,0)</f>
        <v>0.3</v>
      </c>
      <c r="F38" s="31">
        <f ca="1">0.4*OFFSET(F$112,MATCH($N$1,$C$112:$C$113,0)-1,0)</f>
        <v>0.4</v>
      </c>
      <c r="G38" s="31">
        <f ca="1">0.5*OFFSET(G$112,MATCH($N$1,$C$112:$C$113,0)-1,0)</f>
        <v>0.5</v>
      </c>
      <c r="H38" s="31">
        <f ca="1">0.3*OFFSET(H$112,MATCH($N$1,$C$112:$C$113,0)-1,0)</f>
        <v>0.3</v>
      </c>
      <c r="I38" s="31">
        <f ca="1">0.1*OFFSET(I$112,MATCH($N$1,$C$112:$C$113,0)-1,0)</f>
        <v>0.1</v>
      </c>
      <c r="J38" s="31"/>
      <c r="K38" s="31"/>
      <c r="L38" s="31"/>
      <c r="M38" s="31"/>
      <c r="N38" s="31"/>
      <c r="O38" s="28" t="str">
        <f t="shared" si="0"/>
        <v/>
      </c>
      <c r="P38" s="28" t="str">
        <f t="shared" si="1"/>
        <v/>
      </c>
    </row>
    <row r="39" spans="1:16" ht="18" customHeight="1">
      <c r="A39" s="178"/>
      <c r="B39" s="35" t="s">
        <v>214</v>
      </c>
      <c r="C39" s="31"/>
      <c r="D39" s="31"/>
      <c r="E39" s="31">
        <f ca="1">0.2*OFFSET(E$112,MATCH($N$1,$C$112:$C$113,0)-1,0)</f>
        <v>0.2</v>
      </c>
      <c r="F39" s="31">
        <f ca="1">0.2*OFFSET(F$112,MATCH($N$1,$C$112:$C$113,0)-1,0)</f>
        <v>0.2</v>
      </c>
      <c r="G39" s="31"/>
      <c r="H39" s="31">
        <f ca="1">0.3*OFFSET(H$112,MATCH($N$1,$C$112:$C$113,0)-1,0)</f>
        <v>0.3</v>
      </c>
      <c r="I39" s="31"/>
      <c r="J39" s="31"/>
      <c r="K39" s="31"/>
      <c r="L39" s="31"/>
      <c r="M39" s="31"/>
      <c r="N39" s="31"/>
      <c r="O39" s="28" t="str">
        <f t="shared" si="0"/>
        <v/>
      </c>
      <c r="P39" s="28" t="str">
        <f t="shared" si="1"/>
        <v/>
      </c>
    </row>
    <row r="40" spans="1:16" ht="18" customHeight="1">
      <c r="A40" s="178"/>
      <c r="B40" s="35" t="s">
        <v>215</v>
      </c>
      <c r="C40" s="31"/>
      <c r="D40" s="31">
        <f ca="1">0.1*OFFSET(D$112,MATCH($N$1,$C$112:$C$113,0)-1,0)</f>
        <v>0.1</v>
      </c>
      <c r="E40" s="31"/>
      <c r="F40" s="31"/>
      <c r="G40" s="31"/>
      <c r="H40" s="31">
        <f ca="1">0.2*OFFSET(H$112,MATCH($N$1,$C$112:$C$113,0)-1,0)</f>
        <v>0.2</v>
      </c>
      <c r="I40" s="31"/>
      <c r="J40" s="31"/>
      <c r="K40" s="31"/>
      <c r="L40" s="31"/>
      <c r="M40" s="31"/>
      <c r="N40" s="31"/>
      <c r="O40" s="28" t="str">
        <f t="shared" si="0"/>
        <v/>
      </c>
      <c r="P40" s="28" t="str">
        <f t="shared" si="1"/>
        <v/>
      </c>
    </row>
    <row r="41" spans="1:16" ht="18" customHeight="1" thickBot="1">
      <c r="A41" s="179"/>
      <c r="B41" s="42" t="s">
        <v>216</v>
      </c>
      <c r="C41" s="43"/>
      <c r="D41" s="43">
        <f ca="1">-2*OFFSET(D$112,MATCH($N$1,$C$112:$C$113,0)-1,0)</f>
        <v>-2</v>
      </c>
      <c r="E41" s="43">
        <f ca="1">-1.9*OFFSET(E$112,MATCH($N$1,$C$112:$C$113,0)-1,0)</f>
        <v>-1.9</v>
      </c>
      <c r="F41" s="43">
        <f ca="1">-3*OFFSET(F$112,MATCH($N$1,$C$112:$C$113,0)-1,0)</f>
        <v>-3</v>
      </c>
      <c r="G41" s="43">
        <f ca="1">-4.8*OFFSET(G$112,MATCH($N$1,$C$112:$C$113,0)-1,0)</f>
        <v>-4.8</v>
      </c>
      <c r="H41" s="43">
        <f ca="1">-8*OFFSET(H$112,MATCH($N$1,$C$112:$C$113,0)-1,0)</f>
        <v>-8</v>
      </c>
      <c r="I41" s="43">
        <f ca="1">-4.4*OFFSET(I$112,MATCH($N$1,$C$112:$C$113,0)-1,0)</f>
        <v>-4.4000000000000004</v>
      </c>
      <c r="J41" s="43"/>
      <c r="K41" s="43"/>
      <c r="L41" s="43"/>
      <c r="M41" s="43"/>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158</v>
      </c>
      <c r="F46" s="90" t="s">
        <v>158</v>
      </c>
      <c r="G46" s="90" t="s">
        <v>158</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Low activity over 10m</v>
      </c>
      <c r="B48" s="202"/>
      <c r="C48" s="92"/>
      <c r="D48" s="92"/>
      <c r="E48" s="92"/>
      <c r="F48" s="92"/>
      <c r="G48" s="92"/>
      <c r="H48" s="202"/>
      <c r="I48" s="202"/>
      <c r="J48" s="202"/>
      <c r="K48" s="92" t="str">
        <f>$B24&amp;CHAR(10)&amp;$A$1</f>
        <v>Operating profit per kW day at sea (£)
Low activity over 10m</v>
      </c>
      <c r="L48" s="202"/>
      <c r="M48" s="202"/>
      <c r="N48" s="202"/>
      <c r="O48" s="202"/>
      <c r="P48" s="202"/>
    </row>
    <row r="49" spans="1:11" s="80" customFormat="1">
      <c r="A49" s="92" t="str">
        <f>$B22&amp;CHAR(10)&amp;$A$1</f>
        <v>Fishing income per kW day at sea (£)
Low activity over 10m</v>
      </c>
      <c r="B49" s="202"/>
      <c r="C49" s="202"/>
      <c r="D49" s="202"/>
      <c r="E49" s="202"/>
      <c r="F49" s="202"/>
      <c r="G49" s="202"/>
      <c r="H49" s="202"/>
      <c r="I49" s="202"/>
      <c r="J49" s="202"/>
      <c r="K49" s="202"/>
    </row>
    <row r="50" spans="1:11" s="80" customFormat="1">
      <c r="A50" s="92" t="str">
        <f>$B20&amp;CHAR(10)&amp;$A$1</f>
        <v>Average price per tonne landed (£)
Low activity over 10m</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Low activity over 10m</v>
      </c>
      <c r="C62" s="202"/>
      <c r="D62" s="202"/>
      <c r="E62" s="202"/>
      <c r="F62" s="92" t="str">
        <f>$B20&amp;CHAR(10)&amp;$A$1</f>
        <v>Average price per tonne landed (£)
Low activity over 10m</v>
      </c>
      <c r="G62" s="202"/>
      <c r="H62" s="202"/>
      <c r="I62" s="202"/>
      <c r="J62" s="202"/>
      <c r="K62" s="92" t="str">
        <f>"Average annual operating profit per vessel (£'000)"&amp;CHAR(10)&amp;$A$1</f>
        <v>Average annual operating profit per vessel (£'000)
Low activity over 10m</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Low activity over 10m</v>
      </c>
      <c r="F76" s="92" t="str">
        <f>"Top 5 landed species by value in "&amp;A77&amp;CHAR(10)&amp;A1</f>
        <v>Top 5 landed species by value in 2019
Low activity over 10m</v>
      </c>
    </row>
    <row r="77" spans="1:11" s="92" customFormat="1">
      <c r="A77" s="92">
        <v>2019</v>
      </c>
      <c r="B77" s="92" t="s">
        <v>366</v>
      </c>
      <c r="C77" s="93">
        <v>0.44617834435834924</v>
      </c>
      <c r="D77" s="94">
        <v>12153634</v>
      </c>
      <c r="G77" s="92" t="s">
        <v>367</v>
      </c>
      <c r="H77" s="93">
        <v>0.29065801858152235</v>
      </c>
      <c r="I77" s="94">
        <v>12153634</v>
      </c>
      <c r="K77" s="92" t="s">
        <v>230</v>
      </c>
    </row>
    <row r="78" spans="1:11" s="92" customFormat="1">
      <c r="B78" s="92" t="s">
        <v>368</v>
      </c>
      <c r="C78" s="93">
        <v>0.11065146387081885</v>
      </c>
      <c r="D78" s="94">
        <v>11115023</v>
      </c>
      <c r="G78" s="92" t="s">
        <v>369</v>
      </c>
      <c r="H78" s="93">
        <v>0.1404761746507493</v>
      </c>
      <c r="I78" s="94">
        <v>553960</v>
      </c>
    </row>
    <row r="79" spans="1:11" s="92" customFormat="1">
      <c r="B79" s="92" t="s">
        <v>231</v>
      </c>
      <c r="C79" s="93">
        <v>9.9169993388478914E-2</v>
      </c>
      <c r="D79" s="94">
        <v>553960</v>
      </c>
      <c r="G79" s="92" t="s">
        <v>370</v>
      </c>
      <c r="H79" s="93">
        <v>0.13849631875577967</v>
      </c>
      <c r="I79" s="94">
        <v>3050596</v>
      </c>
    </row>
    <row r="80" spans="1:11" s="92" customFormat="1">
      <c r="B80" s="92" t="s">
        <v>371</v>
      </c>
      <c r="C80" s="93">
        <v>9.0966192287121786E-2</v>
      </c>
      <c r="D80" s="94">
        <v>3689192</v>
      </c>
      <c r="G80" s="92" t="s">
        <v>372</v>
      </c>
      <c r="H80" s="93">
        <v>9.4961233513875795E-2</v>
      </c>
      <c r="I80" s="94">
        <v>1692097</v>
      </c>
    </row>
    <row r="81" spans="1:19" s="92" customFormat="1">
      <c r="B81" s="92" t="s">
        <v>373</v>
      </c>
      <c r="C81" s="93">
        <v>8.1459261940533767E-2</v>
      </c>
      <c r="D81" s="94">
        <v>1692097</v>
      </c>
      <c r="G81" s="92" t="s">
        <v>374</v>
      </c>
      <c r="H81" s="93">
        <v>9.0399028246455182E-2</v>
      </c>
      <c r="I81" s="94">
        <v>3689192</v>
      </c>
    </row>
    <row r="82" spans="1:19" s="92" customFormat="1">
      <c r="B82" s="92" t="s">
        <v>375</v>
      </c>
      <c r="C82" s="93">
        <v>0.17157474415469753</v>
      </c>
      <c r="D82" s="94">
        <v>5920853</v>
      </c>
      <c r="G82" s="92" t="s">
        <v>376</v>
      </c>
      <c r="H82" s="93">
        <v>0.2450092262516177</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166</v>
      </c>
      <c r="D92" s="98"/>
      <c r="E92" s="98"/>
      <c r="F92" s="98">
        <v>6.5130747948062437E-2</v>
      </c>
      <c r="G92" s="98"/>
      <c r="H92" s="98"/>
      <c r="I92" s="98">
        <v>0.17925240405484213</v>
      </c>
      <c r="J92" s="98">
        <v>7.4399846809975176E-2</v>
      </c>
      <c r="K92" s="98">
        <v>6.0882421323311765E-2</v>
      </c>
      <c r="L92" s="98">
        <v>0.29065801858152235</v>
      </c>
      <c r="M92" s="98">
        <v>6.5215065205787917E-2</v>
      </c>
      <c r="O92" s="92">
        <v>12153634</v>
      </c>
    </row>
    <row r="93" spans="1:19" s="92" customFormat="1" hidden="1">
      <c r="B93" s="92">
        <v>2</v>
      </c>
      <c r="C93" s="92" t="s">
        <v>160</v>
      </c>
      <c r="D93" s="98">
        <v>0.17154307571100938</v>
      </c>
      <c r="E93" s="98">
        <v>0.20343692988615078</v>
      </c>
      <c r="F93" s="98">
        <v>0.18243408290724794</v>
      </c>
      <c r="G93" s="98">
        <v>0.18791105648816606</v>
      </c>
      <c r="H93" s="98">
        <v>0.1479101253587721</v>
      </c>
      <c r="I93" s="98">
        <v>0.16784455977060977</v>
      </c>
      <c r="J93" s="98">
        <v>0.24230947489617319</v>
      </c>
      <c r="K93" s="98">
        <v>0.14578068724894411</v>
      </c>
      <c r="L93" s="98">
        <v>0.1404761746507493</v>
      </c>
      <c r="M93" s="98">
        <v>0.25075952777782262</v>
      </c>
      <c r="O93" s="92">
        <v>553960</v>
      </c>
    </row>
    <row r="94" spans="1:19" s="92" customFormat="1" hidden="1">
      <c r="B94" s="92">
        <v>3</v>
      </c>
      <c r="C94" s="92" t="s">
        <v>167</v>
      </c>
      <c r="D94" s="98">
        <v>0.1219544723963388</v>
      </c>
      <c r="E94" s="98">
        <v>8.1012022386694138E-2</v>
      </c>
      <c r="F94" s="98">
        <v>0.13093354749730893</v>
      </c>
      <c r="G94" s="98">
        <v>0.11935368911297346</v>
      </c>
      <c r="H94" s="98">
        <v>0.17189958457712481</v>
      </c>
      <c r="I94" s="98">
        <v>0.18137363667063561</v>
      </c>
      <c r="J94" s="98">
        <v>0.17494064662689227</v>
      </c>
      <c r="K94" s="98">
        <v>0.14687566986411357</v>
      </c>
      <c r="L94" s="98">
        <v>0.13849631875577967</v>
      </c>
      <c r="M94" s="98">
        <v>0.12352844014049852</v>
      </c>
      <c r="O94" s="92">
        <v>3050596</v>
      </c>
    </row>
    <row r="95" spans="1:19" s="92" customFormat="1" hidden="1">
      <c r="B95" s="92">
        <v>4</v>
      </c>
      <c r="C95" s="92" t="s">
        <v>170</v>
      </c>
      <c r="D95" s="98"/>
      <c r="E95" s="98"/>
      <c r="F95" s="98"/>
      <c r="G95" s="98"/>
      <c r="H95" s="98"/>
      <c r="I95" s="98"/>
      <c r="J95" s="98"/>
      <c r="K95" s="98">
        <v>0.17880253310801256</v>
      </c>
      <c r="L95" s="98">
        <v>9.4961233513875795E-2</v>
      </c>
      <c r="M95" s="98"/>
      <c r="O95" s="92">
        <v>1692097</v>
      </c>
    </row>
    <row r="96" spans="1:19" s="92" customFormat="1" hidden="1">
      <c r="B96" s="92">
        <v>5</v>
      </c>
      <c r="C96" s="92" t="s">
        <v>172</v>
      </c>
      <c r="D96" s="98">
        <v>0.18450221938984551</v>
      </c>
      <c r="E96" s="98"/>
      <c r="F96" s="98">
        <v>0.11018051864684249</v>
      </c>
      <c r="G96" s="98">
        <v>0.11077788842554562</v>
      </c>
      <c r="H96" s="98">
        <v>0.25377021699513247</v>
      </c>
      <c r="I96" s="98">
        <v>4.3077963913320937E-2</v>
      </c>
      <c r="J96" s="98"/>
      <c r="K96" s="98"/>
      <c r="L96" s="98">
        <v>9.0399028246455182E-2</v>
      </c>
      <c r="M96" s="98">
        <v>0.23069392082957901</v>
      </c>
      <c r="O96" s="92">
        <v>3689192</v>
      </c>
    </row>
    <row r="97" spans="1:15" s="92" customFormat="1" hidden="1">
      <c r="B97" s="92">
        <v>6</v>
      </c>
      <c r="C97" s="92" t="s">
        <v>171</v>
      </c>
      <c r="D97" s="98">
        <v>6.6004368930121807E-2</v>
      </c>
      <c r="E97" s="98">
        <v>8.5569578253825454E-2</v>
      </c>
      <c r="F97" s="98">
        <v>7.6980014632669541E-2</v>
      </c>
      <c r="G97" s="98">
        <v>6.9236043148250881E-2</v>
      </c>
      <c r="H97" s="98">
        <v>5.2181443588873562E-2</v>
      </c>
      <c r="I97" s="98">
        <v>8.9920164437015018E-2</v>
      </c>
      <c r="J97" s="98"/>
      <c r="K97" s="98"/>
      <c r="L97" s="98"/>
      <c r="M97" s="98">
        <v>8.7722753989858487E-2</v>
      </c>
      <c r="O97" s="92">
        <v>11115023</v>
      </c>
    </row>
    <row r="98" spans="1:15" s="92" customFormat="1" hidden="1">
      <c r="B98" s="92">
        <v>7</v>
      </c>
      <c r="C98" s="92" t="s">
        <v>377</v>
      </c>
      <c r="D98" s="98">
        <v>7.7764796508212636E-2</v>
      </c>
      <c r="E98" s="98">
        <v>7.5683303106190786E-2</v>
      </c>
      <c r="F98" s="98"/>
      <c r="G98" s="98">
        <v>9.0349804918228582E-2</v>
      </c>
      <c r="H98" s="98"/>
      <c r="I98" s="98"/>
      <c r="J98" s="98">
        <v>7.9534628751470257E-2</v>
      </c>
      <c r="K98" s="98">
        <v>7.0896790603074772E-2</v>
      </c>
      <c r="L98" s="98"/>
      <c r="M98" s="98"/>
      <c r="O98" s="92">
        <v>2480382</v>
      </c>
    </row>
    <row r="99" spans="1:15" s="92" customFormat="1" hidden="1">
      <c r="B99" s="92">
        <v>8</v>
      </c>
      <c r="C99" s="92" t="s">
        <v>378</v>
      </c>
      <c r="D99" s="98"/>
      <c r="E99" s="98"/>
      <c r="F99" s="98"/>
      <c r="G99" s="98"/>
      <c r="H99" s="98">
        <v>4.8595179059425599E-2</v>
      </c>
      <c r="I99" s="98"/>
      <c r="J99" s="98">
        <v>9.2857725762357651E-2</v>
      </c>
      <c r="K99" s="98"/>
      <c r="L99" s="98"/>
      <c r="M99" s="98"/>
      <c r="O99" s="92">
        <v>7434864</v>
      </c>
    </row>
    <row r="100" spans="1:15" s="92" customFormat="1" hidden="1">
      <c r="B100" s="92">
        <v>9</v>
      </c>
      <c r="C100" s="92" t="s">
        <v>379</v>
      </c>
      <c r="D100" s="98"/>
      <c r="E100" s="98">
        <v>7.1705441267373743E-2</v>
      </c>
      <c r="F100" s="98"/>
      <c r="G100" s="98"/>
      <c r="H100" s="98"/>
      <c r="I100" s="98"/>
      <c r="J100" s="98"/>
      <c r="K100" s="98"/>
      <c r="L100" s="98"/>
      <c r="M100" s="98"/>
      <c r="O100" s="92">
        <v>8497745</v>
      </c>
    </row>
    <row r="101" spans="1:15" s="92" customFormat="1" hidden="1">
      <c r="B101" s="92">
        <v>10</v>
      </c>
      <c r="C101" s="92" t="s">
        <v>245</v>
      </c>
      <c r="D101" s="98">
        <v>0.3782310670644719</v>
      </c>
      <c r="E101" s="98">
        <v>0.48259272509976509</v>
      </c>
      <c r="F101" s="98">
        <v>0.43434108836786867</v>
      </c>
      <c r="G101" s="98">
        <v>0.42237151790683541</v>
      </c>
      <c r="H101" s="98">
        <v>0.32564345042067144</v>
      </c>
      <c r="I101" s="98">
        <v>0.33853127115357651</v>
      </c>
      <c r="J101" s="98">
        <v>0.33595767715313146</v>
      </c>
      <c r="K101" s="98">
        <v>0.39676189785254323</v>
      </c>
      <c r="L101" s="98">
        <v>0.24500922625161772</v>
      </c>
      <c r="M101" s="98">
        <v>0.24208029205645346</v>
      </c>
      <c r="O101" s="92">
        <v>5920853</v>
      </c>
    </row>
    <row r="102" spans="1:15" s="92" customFormat="1" hidden="1">
      <c r="B102" s="92">
        <v>11</v>
      </c>
      <c r="D102" s="98"/>
      <c r="E102" s="98"/>
      <c r="F102" s="98"/>
      <c r="G102" s="98"/>
      <c r="H102" s="98"/>
      <c r="I102" s="98"/>
      <c r="J102" s="98"/>
      <c r="K102" s="98"/>
      <c r="L102" s="98"/>
      <c r="M102" s="98"/>
      <c r="O102" s="92">
        <v>2887140</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11</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12</v>
      </c>
      <c r="D120" s="54">
        <v>24</v>
      </c>
      <c r="E120" s="54">
        <v>12</v>
      </c>
      <c r="F120" s="55">
        <v>48</v>
      </c>
    </row>
    <row r="121" spans="1:15" ht="18" customHeight="1">
      <c r="A121" s="173" t="s">
        <v>191</v>
      </c>
      <c r="B121" s="33" t="s">
        <v>192</v>
      </c>
      <c r="C121" s="56">
        <v>11.830833435058594</v>
      </c>
      <c r="D121" s="56">
        <v>12.40749979019165</v>
      </c>
      <c r="E121" s="56">
        <v>14.304166793823242</v>
      </c>
      <c r="F121" s="57">
        <v>12.737500190734863</v>
      </c>
      <c r="G121" s="206"/>
      <c r="H121" s="206"/>
      <c r="I121" s="206"/>
      <c r="J121" s="206"/>
      <c r="K121" s="206"/>
      <c r="L121" s="206"/>
      <c r="M121" s="206"/>
      <c r="N121" s="206"/>
      <c r="O121" s="206"/>
    </row>
    <row r="122" spans="1:15" ht="18" customHeight="1">
      <c r="A122" s="174"/>
      <c r="B122" s="35" t="s">
        <v>184</v>
      </c>
      <c r="C122" s="58">
        <v>121.83333587646484</v>
      </c>
      <c r="D122" s="58">
        <v>135.99999618530273</v>
      </c>
      <c r="E122" s="58">
        <v>234.33332824707031</v>
      </c>
      <c r="F122" s="59">
        <v>157.04167175292969</v>
      </c>
      <c r="G122" s="206"/>
      <c r="H122" s="206"/>
      <c r="I122" s="206"/>
      <c r="J122" s="206"/>
      <c r="K122" s="206"/>
      <c r="L122" s="206"/>
      <c r="M122" s="206"/>
      <c r="N122" s="206"/>
      <c r="O122" s="206"/>
    </row>
    <row r="123" spans="1:15" ht="18" customHeight="1">
      <c r="A123" s="174"/>
      <c r="B123" s="35" t="s">
        <v>185</v>
      </c>
      <c r="C123" s="58">
        <v>14.166666984558105</v>
      </c>
      <c r="D123" s="58">
        <v>19.708333015441895</v>
      </c>
      <c r="E123" s="58">
        <v>62.666667938232422</v>
      </c>
      <c r="F123" s="59">
        <v>29.0625</v>
      </c>
      <c r="G123" s="206"/>
      <c r="H123" s="206"/>
      <c r="I123" s="206"/>
      <c r="J123" s="206"/>
      <c r="K123" s="206"/>
      <c r="L123" s="206"/>
      <c r="M123" s="206"/>
      <c r="N123" s="206"/>
      <c r="O123" s="206"/>
    </row>
    <row r="124" spans="1:15" ht="18" customHeight="1">
      <c r="A124" s="174"/>
      <c r="B124" s="35" t="s">
        <v>186</v>
      </c>
      <c r="C124" s="58">
        <v>104.63203430175781</v>
      </c>
      <c r="D124" s="58">
        <v>118.03390502929688</v>
      </c>
      <c r="E124" s="58">
        <v>185.86833190917969</v>
      </c>
      <c r="F124" s="59">
        <v>131.64204406738281</v>
      </c>
      <c r="G124" s="206"/>
      <c r="H124" s="206"/>
      <c r="I124" s="206"/>
      <c r="J124" s="206"/>
      <c r="K124" s="206"/>
      <c r="L124" s="206"/>
      <c r="M124" s="206"/>
      <c r="N124" s="206"/>
      <c r="O124" s="206"/>
    </row>
    <row r="125" spans="1:15" ht="18" customHeight="1">
      <c r="A125" s="174"/>
      <c r="B125" s="35" t="s">
        <v>187</v>
      </c>
      <c r="C125" s="31">
        <v>1.4665333032608032</v>
      </c>
      <c r="D125" s="31">
        <v>2.2153333425521851</v>
      </c>
      <c r="E125" s="31">
        <v>1.0284500122070313</v>
      </c>
      <c r="F125" s="60">
        <v>1.7314125299453735</v>
      </c>
      <c r="G125" s="206"/>
      <c r="H125" s="206"/>
      <c r="I125" s="206"/>
      <c r="J125" s="206"/>
      <c r="K125" s="206"/>
      <c r="L125" s="206"/>
      <c r="M125" s="206"/>
      <c r="N125" s="206"/>
      <c r="O125" s="206"/>
    </row>
    <row r="126" spans="1:15" ht="18" customHeight="1">
      <c r="A126" s="174"/>
      <c r="B126" s="35" t="s">
        <v>193</v>
      </c>
      <c r="C126" s="31">
        <f ca="1">4.18096533203125*OFFSET($L$112,MATCH($N$1,$C$112:$C$113,0)-1,0)</f>
        <v>4.1809653320312501</v>
      </c>
      <c r="D126" s="31">
        <f ca="1">5.109669921875*OFFSET($L$112,MATCH($N$1,$C$112:$C$113,0)-1,0)</f>
        <v>5.1096699218749997</v>
      </c>
      <c r="E126" s="31">
        <f ca="1">2.50909594726562*OFFSET($L$112,MATCH($N$1,$C$112:$C$113,0)-1,0)</f>
        <v>2.50909594726562</v>
      </c>
      <c r="F126" s="60">
        <f ca="1">4.22735009765625*OFFSET($L$112,MATCH($N$1,$C$112:$C$113,0)-1,0)</f>
        <v>4.2273500976562497</v>
      </c>
      <c r="G126" s="206"/>
      <c r="H126" s="206"/>
      <c r="I126" s="206"/>
      <c r="J126" s="206"/>
      <c r="K126" s="206"/>
      <c r="L126" s="206"/>
      <c r="M126" s="206"/>
      <c r="N126" s="206"/>
      <c r="O126" s="206"/>
    </row>
    <row r="127" spans="1:15" ht="18" customHeight="1">
      <c r="A127" s="174"/>
      <c r="B127" s="35" t="s">
        <v>189</v>
      </c>
      <c r="C127" s="58">
        <v>9</v>
      </c>
      <c r="D127" s="58">
        <v>12.833333492279053</v>
      </c>
      <c r="E127" s="58">
        <v>16.916666030883789</v>
      </c>
      <c r="F127" s="59">
        <v>12.895833015441895</v>
      </c>
      <c r="G127" s="206"/>
      <c r="H127" s="206"/>
      <c r="I127" s="206"/>
      <c r="J127" s="206"/>
      <c r="K127" s="206"/>
      <c r="L127" s="206"/>
      <c r="M127" s="206"/>
      <c r="N127" s="206"/>
      <c r="O127" s="206"/>
    </row>
    <row r="128" spans="1:15" ht="18" customHeight="1">
      <c r="A128" s="174"/>
      <c r="B128" s="35" t="s">
        <v>194</v>
      </c>
      <c r="C128" s="58">
        <v>27.333333969116211</v>
      </c>
      <c r="D128" s="58">
        <v>33.666666984558105</v>
      </c>
      <c r="E128" s="58">
        <v>32.833332061767578</v>
      </c>
      <c r="F128" s="59">
        <v>31.875</v>
      </c>
      <c r="G128" s="206"/>
      <c r="H128" s="206"/>
      <c r="I128" s="206"/>
      <c r="J128" s="206"/>
      <c r="K128" s="206"/>
      <c r="L128" s="206"/>
      <c r="M128" s="206"/>
      <c r="N128" s="206"/>
      <c r="O128" s="206"/>
    </row>
    <row r="129" spans="1:15" ht="18" customHeight="1">
      <c r="A129" s="174"/>
      <c r="B129" s="35" t="s">
        <v>195</v>
      </c>
      <c r="C129" s="61">
        <v>0.16294814646244049</v>
      </c>
      <c r="D129" s="61">
        <v>0.17262337520372248</v>
      </c>
      <c r="E129" s="61">
        <v>6.0795076191425323E-2</v>
      </c>
      <c r="F129" s="62">
        <v>0.13426139950752258</v>
      </c>
      <c r="G129" s="206"/>
      <c r="H129" s="206"/>
      <c r="I129" s="206"/>
      <c r="J129" s="206"/>
      <c r="K129" s="206"/>
      <c r="L129" s="206"/>
      <c r="M129" s="206"/>
      <c r="N129" s="206"/>
      <c r="O129" s="206"/>
    </row>
    <row r="130" spans="1:15" ht="18" customHeight="1">
      <c r="A130" s="175"/>
      <c r="B130" s="37" t="s">
        <v>196</v>
      </c>
      <c r="C130" s="38">
        <f ca="1">2850.91741369594*OFFSET($L$112,MATCH($N$1,$C$112:$C$113,0)-1,0)</f>
        <v>2850.91741369594</v>
      </c>
      <c r="D130" s="38">
        <f ca="1">2306.50161026709*OFFSET($L$112,MATCH($N$1,$C$112:$C$113,0)-1,0)</f>
        <v>2306.5016102670902</v>
      </c>
      <c r="E130" s="38">
        <f ca="1">2439.68682724906*OFFSET($L$112,MATCH($N$1,$C$112:$C$113,0)-1,0)</f>
        <v>2439.6868272490601</v>
      </c>
      <c r="F130" s="63">
        <f ca="1">2442*OFFSET($L$112,MATCH($N$1,$C$112:$C$113,0)-1,0)</f>
        <v>2442</v>
      </c>
      <c r="G130" s="206"/>
      <c r="H130" s="206"/>
      <c r="I130" s="206"/>
      <c r="J130" s="206"/>
      <c r="K130" s="206"/>
      <c r="L130" s="206"/>
      <c r="M130" s="206"/>
      <c r="N130" s="206"/>
      <c r="O130" s="206"/>
    </row>
    <row r="131" spans="1:15" ht="18" customHeight="1">
      <c r="A131" s="184" t="s">
        <v>197</v>
      </c>
      <c r="B131" s="33" t="s">
        <v>198</v>
      </c>
      <c r="C131" s="64">
        <v>1.6343239262754925</v>
      </c>
      <c r="D131" s="64">
        <v>1.3520152463086776</v>
      </c>
      <c r="E131" s="64">
        <v>0.36108137003670016</v>
      </c>
      <c r="F131" s="65">
        <v>0.98618524970952381</v>
      </c>
      <c r="G131" s="206"/>
      <c r="H131" s="206"/>
      <c r="I131" s="206"/>
      <c r="J131" s="206"/>
      <c r="K131" s="206"/>
      <c r="L131" s="206"/>
      <c r="M131" s="206"/>
      <c r="N131" s="206"/>
      <c r="O131" s="206"/>
    </row>
    <row r="132" spans="1:15" ht="18" customHeight="1">
      <c r="A132" s="185"/>
      <c r="B132" s="35" t="s">
        <v>199</v>
      </c>
      <c r="C132" s="61">
        <f ca="1">4.65932254103872*OFFSET($L$112,MATCH($N$1,$C$112:$C$113,0)-1,0)</f>
        <v>4.65932254103872</v>
      </c>
      <c r="D132" s="61">
        <f ca="1">3.11842534271663*OFFSET($L$112,MATCH($N$1,$C$112:$C$113,0)-1,0)</f>
        <v>3.11842534271663</v>
      </c>
      <c r="E132" s="61">
        <f ca="1">0.880925462043579*OFFSET($L$112,MATCH($N$1,$C$112:$C$113,0)-1,0)</f>
        <v>0.88092546204357902</v>
      </c>
      <c r="F132" s="62">
        <f ca="1">2.40783189422699*OFFSET($L$112,MATCH($N$1,$C$112:$C$113,0)-1,0)</f>
        <v>2.4078318942269901</v>
      </c>
      <c r="G132" s="206"/>
      <c r="H132" s="206"/>
      <c r="I132" s="206"/>
      <c r="J132" s="206"/>
      <c r="K132" s="206"/>
      <c r="L132" s="206"/>
      <c r="M132" s="206"/>
      <c r="N132" s="206"/>
      <c r="O132" s="206"/>
    </row>
    <row r="133" spans="1:15" ht="18" customHeight="1">
      <c r="A133" s="185"/>
      <c r="B133" s="35" t="s">
        <v>154</v>
      </c>
      <c r="C133" s="61">
        <f ca="1">5.5014165847442*OFFSET($L$112,MATCH($N$1,$C$112:$C$113,0)-1,0)</f>
        <v>5.5014165847441996</v>
      </c>
      <c r="D133" s="61">
        <f ca="1">4.53024504665839*OFFSET($L$112,MATCH($N$1,$C$112:$C$113,0)-1,0)</f>
        <v>4.5302450466583899</v>
      </c>
      <c r="E133" s="61">
        <f ca="1">2.4342451059587*OFFSET($L$112,MATCH($N$1,$C$112:$C$113,0)-1,0)</f>
        <v>2.4342451059586998</v>
      </c>
      <c r="F133" s="62">
        <f ca="1">3.80424352756744*OFFSET($L$112,MATCH($N$1,$C$112:$C$113,0)-1,0)</f>
        <v>3.80424352756744</v>
      </c>
      <c r="G133" s="206"/>
      <c r="H133" s="206"/>
      <c r="I133" s="206"/>
      <c r="J133" s="206"/>
      <c r="K133" s="206"/>
      <c r="L133" s="206"/>
      <c r="M133" s="206"/>
      <c r="N133" s="206"/>
      <c r="O133" s="206"/>
    </row>
    <row r="134" spans="1:15" ht="18" customHeight="1">
      <c r="A134" s="186"/>
      <c r="B134" s="37" t="s">
        <v>155</v>
      </c>
      <c r="C134" s="66">
        <f ca="1">-0.842094043705481*OFFSET($L$112,MATCH($N$1,$C$112:$C$113,0)-1,0)</f>
        <v>-0.84209404370548102</v>
      </c>
      <c r="D134" s="66">
        <f ca="1">-1.41181970394177*OFFSET($L$112,MATCH($N$1,$C$112:$C$113,0)-1,0)</f>
        <v>-1.4118197039417699</v>
      </c>
      <c r="E134" s="66">
        <f ca="1">-1.55331964391512*OFFSET($L$112,MATCH($N$1,$C$112:$C$113,0)-1,0)</f>
        <v>-1.55331964391512</v>
      </c>
      <c r="F134" s="67">
        <f ca="1">-1.39641163334045*OFFSET($L$112,MATCH($N$1,$C$112:$C$113,0)-1,0)</f>
        <v>-1.3964116333404499</v>
      </c>
      <c r="G134" s="206"/>
      <c r="H134" s="206"/>
      <c r="I134" s="206"/>
      <c r="J134" s="206"/>
      <c r="K134" s="206"/>
      <c r="L134" s="206"/>
      <c r="M134" s="206"/>
      <c r="N134" s="206"/>
      <c r="O134" s="206"/>
    </row>
    <row r="135" spans="1:15" ht="18" customHeight="1">
      <c r="A135" s="187" t="s">
        <v>254</v>
      </c>
      <c r="B135" s="35" t="s">
        <v>255</v>
      </c>
      <c r="C135" s="68">
        <f ca="1">1.01464874267578*OFFSET($L$112,MATCH($N$1,$C$112:$C$113,0)-1,0)</f>
        <v>1.01464874267578</v>
      </c>
      <c r="D135" s="68">
        <f ca="1">2.62986840820313*OFFSET($L$112,MATCH($N$1,$C$112:$C$113,0)-1,0)</f>
        <v>2.6298684082031301</v>
      </c>
      <c r="E135" s="68">
        <f ca="1">4.57968017578125*OFFSET($L$112,MATCH($N$1,$C$112:$C$113,0)-1,0)</f>
        <v>4.5796801757812498</v>
      </c>
      <c r="F135" s="69">
        <f ca="1">2.7135166015625*OFFSET($L$112,MATCH($N$1,$C$112:$C$113,0)-1,0)</f>
        <v>2.7135166015625001</v>
      </c>
      <c r="G135" s="206"/>
      <c r="H135" s="206"/>
      <c r="I135" s="206"/>
      <c r="J135" s="206"/>
      <c r="K135" s="206"/>
      <c r="L135" s="206"/>
      <c r="M135" s="206"/>
      <c r="N135" s="206"/>
      <c r="O135" s="206"/>
    </row>
    <row r="136" spans="1:15" ht="18" customHeight="1">
      <c r="A136" s="188"/>
      <c r="B136" s="35" t="s">
        <v>256</v>
      </c>
      <c r="C136" s="30">
        <v>1966.6667175292969</v>
      </c>
      <c r="D136" s="30">
        <v>5072.9167922065972</v>
      </c>
      <c r="E136" s="30">
        <v>8712.5001404923387</v>
      </c>
      <c r="F136" s="70">
        <v>5206.25</v>
      </c>
      <c r="G136" s="206"/>
      <c r="H136" s="206"/>
      <c r="I136" s="206"/>
      <c r="J136" s="206"/>
      <c r="K136" s="206"/>
      <c r="L136" s="206"/>
      <c r="M136" s="206"/>
      <c r="N136" s="206"/>
      <c r="O136" s="206"/>
    </row>
    <row r="137" spans="1:15" ht="18" customHeight="1">
      <c r="A137" s="188"/>
      <c r="B137" s="35" t="s">
        <v>257</v>
      </c>
      <c r="C137" s="30">
        <v>218.51852416992188</v>
      </c>
      <c r="D137" s="30">
        <v>395.29221267869548</v>
      </c>
      <c r="E137" s="30">
        <v>515.024658203125</v>
      </c>
      <c r="F137" s="70">
        <v>403.71566772460938</v>
      </c>
      <c r="G137" s="206"/>
      <c r="H137" s="206"/>
      <c r="I137" s="206"/>
      <c r="J137" s="206"/>
      <c r="K137" s="206"/>
      <c r="L137" s="206"/>
      <c r="M137" s="206"/>
      <c r="N137" s="206"/>
      <c r="O137" s="206"/>
    </row>
    <row r="138" spans="1:15" ht="18" customHeight="1">
      <c r="A138" s="188"/>
      <c r="B138" s="35" t="s">
        <v>258</v>
      </c>
      <c r="C138" s="30">
        <f ca="1">112.738749186198*OFFSET($L$112,MATCH($N$1,$C$112:$C$113,0)-1,0)</f>
        <v>112.73874918619801</v>
      </c>
      <c r="D138" s="30">
        <f ca="1">204.924808490743*OFFSET($L$112,MATCH($N$1,$C$112:$C$113,0)-1,0)</f>
        <v>204.924808490743</v>
      </c>
      <c r="E138" s="30">
        <f ca="1">270.720020565541*OFFSET($L$112,MATCH($N$1,$C$112:$C$113,0)-1,0)</f>
        <v>270.72002056554101</v>
      </c>
      <c r="F138" s="70">
        <f ca="1">210.418093838005*OFFSET($L$112,MATCH($N$1,$C$112:$C$113,0)-1,0)</f>
        <v>210.41809383800501</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691.86887227159*OFFSET($L$112,MATCH($N$1,$C$112:$C$113,0)-1,0)</f>
        <v>691.86887227159002</v>
      </c>
      <c r="D139" s="30">
        <f ca="1">1187.12085341223*OFFSET($L$112,MATCH($N$1,$C$112:$C$113,0)-1,0)</f>
        <v>1187.12085341223</v>
      </c>
      <c r="E139" s="30">
        <f ca="1">4452.99248521895*OFFSET($L$112,MATCH($N$1,$C$112:$C$113,0)-1,0)</f>
        <v>4452.9924852189497</v>
      </c>
      <c r="F139" s="70">
        <f ca="1">1567.22707883378*OFFSET($L$112,MATCH($N$1,$C$112:$C$113,0)-1,0)</f>
        <v>1567.2270788337801</v>
      </c>
      <c r="G139" s="206"/>
      <c r="H139" s="206"/>
      <c r="I139" s="46"/>
      <c r="J139" s="206"/>
      <c r="K139" s="71" t="s">
        <v>260</v>
      </c>
      <c r="L139" s="72">
        <f t="shared" ref="L139:M141" ca="1" si="2">C140</f>
        <v>4.4929301757812503</v>
      </c>
      <c r="M139" s="72">
        <f t="shared" ca="1" si="2"/>
        <v>5.4909301757812496</v>
      </c>
      <c r="N139" s="72">
        <f ca="1">E140</f>
        <v>2.6963132324218799</v>
      </c>
      <c r="O139" s="72"/>
    </row>
    <row r="140" spans="1:15" ht="18" customHeight="1">
      <c r="A140" s="166" t="s">
        <v>261</v>
      </c>
      <c r="B140" s="33" t="s">
        <v>262</v>
      </c>
      <c r="C140" s="73">
        <f ca="1">4.49293017578125*OFFSET($L$112,MATCH($N$1,$C$112:$C$113,0)-1,0)</f>
        <v>4.4929301757812503</v>
      </c>
      <c r="D140" s="73">
        <f ca="1">5.49093017578125*OFFSET($L$112,MATCH($N$1,$C$112:$C$113,0)-1,0)</f>
        <v>5.4909301757812496</v>
      </c>
      <c r="E140" s="73">
        <f ca="1">2.69631323242188*OFFSET($L$112,MATCH($N$1,$C$112:$C$113,0)-1,0)</f>
        <v>2.6963132324218799</v>
      </c>
      <c r="F140" s="74">
        <f ca="1">4.54277587890625*OFFSET($L$112,MATCH($N$1,$C$112:$C$113,0)-1,0)</f>
        <v>4.5427758789062498</v>
      </c>
      <c r="G140" s="206"/>
      <c r="H140" s="206"/>
      <c r="I140" s="46"/>
      <c r="J140" s="206"/>
      <c r="K140" s="71" t="s">
        <v>263</v>
      </c>
      <c r="L140" s="72">
        <f t="shared" ca="1" si="2"/>
        <v>5.2485693359374999</v>
      </c>
      <c r="M140" s="72">
        <f t="shared" ca="1" si="2"/>
        <v>7.8042556152343696</v>
      </c>
      <c r="N140" s="72">
        <f ca="1">E141</f>
        <v>7.1205556640624996</v>
      </c>
      <c r="O140" s="72"/>
    </row>
    <row r="141" spans="1:15" ht="18" customHeight="1">
      <c r="A141" s="167"/>
      <c r="B141" s="35" t="s">
        <v>264</v>
      </c>
      <c r="C141" s="30">
        <f ca="1">5.2485693359375*OFFSET($L$112,MATCH($N$1,$C$112:$C$113,0)-1,0)</f>
        <v>5.2485693359374999</v>
      </c>
      <c r="D141" s="30">
        <f ca="1">7.80425561523437*OFFSET($L$112,MATCH($N$1,$C$112:$C$113,0)-1,0)</f>
        <v>7.8042556152343696</v>
      </c>
      <c r="E141" s="30">
        <f ca="1">7.1205556640625*OFFSET($L$112,MATCH($N$1,$C$112:$C$113,0)-1,0)</f>
        <v>7.1205556640624996</v>
      </c>
      <c r="F141" s="70">
        <f ca="1">6.9944091796875*OFFSET($L$112,MATCH($N$1,$C$112:$C$113,0)-1,0)</f>
        <v>6.9944091796874996</v>
      </c>
      <c r="G141" s="206"/>
      <c r="H141" s="206"/>
      <c r="I141" s="46"/>
      <c r="J141" s="206"/>
      <c r="K141" s="71" t="s">
        <v>265</v>
      </c>
      <c r="L141" s="72">
        <f t="shared" ca="1" si="2"/>
        <v>-0.75563916015624999</v>
      </c>
      <c r="M141" s="72">
        <f t="shared" ca="1" si="2"/>
        <v>-2.31332543945312</v>
      </c>
      <c r="N141" s="72">
        <f ca="1">E142</f>
        <v>-4.4242424316406304</v>
      </c>
      <c r="O141" s="72"/>
    </row>
    <row r="142" spans="1:15" ht="18" customHeight="1">
      <c r="A142" s="168"/>
      <c r="B142" s="37" t="s">
        <v>266</v>
      </c>
      <c r="C142" s="38">
        <f ca="1">-0.75563916015625*OFFSET($L$112,MATCH($N$1,$C$112:$C$113,0)-1,0)</f>
        <v>-0.75563916015624999</v>
      </c>
      <c r="D142" s="38">
        <f ca="1">-2.31332543945312*OFFSET($L$112,MATCH($N$1,$C$112:$C$113,0)-1,0)</f>
        <v>-2.31332543945312</v>
      </c>
      <c r="E142" s="38">
        <f ca="1">-4.42424243164063*OFFSET($L$112,MATCH($N$1,$C$112:$C$113,0)-1,0)</f>
        <v>-4.4242424316406304</v>
      </c>
      <c r="F142" s="63">
        <f ca="1">-2.45163330078125*OFFSET($L$112,MATCH($N$1,$C$112:$C$113,0)-1,0)</f>
        <v>-2.4516333007812499</v>
      </c>
      <c r="G142" s="206"/>
      <c r="H142" s="206"/>
      <c r="I142" s="46"/>
      <c r="J142" s="206"/>
      <c r="K142" s="71" t="s">
        <v>267</v>
      </c>
      <c r="L142" s="75">
        <f ca="1">IFERROR(L140/L$139,"")</f>
        <v>1.1681840426164325</v>
      </c>
      <c r="M142" s="75">
        <f t="shared" ref="M142:N143" ca="1" si="3">IFERROR(M140/M$139,"")</f>
        <v>1.4212993728560717</v>
      </c>
      <c r="N142" s="75">
        <f t="shared" ca="1" si="3"/>
        <v>2.6408488370124124</v>
      </c>
      <c r="O142" s="75"/>
    </row>
    <row r="143" spans="1:15" ht="18" customHeight="1">
      <c r="A143" s="206"/>
      <c r="B143" s="206"/>
      <c r="C143" s="206"/>
      <c r="D143" s="206"/>
      <c r="E143" s="206"/>
      <c r="F143" s="206"/>
      <c r="G143" s="206"/>
      <c r="H143" s="206"/>
      <c r="I143" s="46"/>
      <c r="J143" s="206"/>
      <c r="K143" s="71" t="s">
        <v>268</v>
      </c>
      <c r="L143" s="75">
        <f ca="1">IFERROR(L141/L$139,"")</f>
        <v>-0.16818404261643263</v>
      </c>
      <c r="M143" s="75">
        <f t="shared" ca="1" si="3"/>
        <v>-0.42129937285607172</v>
      </c>
      <c r="N143" s="75">
        <f t="shared" ca="1" si="3"/>
        <v>-1.6408488370124161</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10</v>
      </c>
      <c r="B161" s="51"/>
      <c r="C161" s="76" t="s">
        <v>249</v>
      </c>
      <c r="D161" s="76" t="s">
        <v>270</v>
      </c>
      <c r="E161" s="76" t="s">
        <v>251</v>
      </c>
      <c r="F161" s="76" t="s">
        <v>271</v>
      </c>
      <c r="G161" s="77">
        <v>10</v>
      </c>
      <c r="H161" s="76"/>
      <c r="I161" s="76" t="s">
        <v>249</v>
      </c>
      <c r="J161" s="76" t="s">
        <v>270</v>
      </c>
      <c r="K161" s="76" t="s">
        <v>251</v>
      </c>
      <c r="L161" s="51" t="s">
        <v>271</v>
      </c>
      <c r="R161" s="206"/>
      <c r="S161" s="206"/>
    </row>
    <row r="162" spans="1:19" s="46" customFormat="1">
      <c r="A162" s="47">
        <v>1</v>
      </c>
      <c r="B162" s="51" t="s">
        <v>166</v>
      </c>
      <c r="C162" s="51">
        <v>0.45554709574351632</v>
      </c>
      <c r="D162" s="51">
        <v>0.54054545306324131</v>
      </c>
      <c r="E162" s="51">
        <v>9.1869643338451989E-2</v>
      </c>
      <c r="F162" s="47">
        <v>12153634</v>
      </c>
      <c r="G162" s="47">
        <v>1</v>
      </c>
      <c r="H162" s="51" t="s">
        <v>166</v>
      </c>
      <c r="I162" s="51">
        <v>0.24230837037606923</v>
      </c>
      <c r="J162" s="51">
        <v>0.37504096480094318</v>
      </c>
      <c r="K162" s="51">
        <v>5.8360125052488214E-2</v>
      </c>
      <c r="L162" s="47">
        <v>12153634</v>
      </c>
      <c r="R162" s="206"/>
      <c r="S162" s="206"/>
    </row>
    <row r="163" spans="1:19" s="46" customFormat="1">
      <c r="A163" s="47">
        <v>2</v>
      </c>
      <c r="B163" s="51" t="s">
        <v>160</v>
      </c>
      <c r="C163" s="51">
        <v>0</v>
      </c>
      <c r="D163" s="51">
        <v>0.14921889815159772</v>
      </c>
      <c r="E163" s="51">
        <v>0</v>
      </c>
      <c r="F163" s="47">
        <v>553960</v>
      </c>
      <c r="G163" s="47">
        <v>2</v>
      </c>
      <c r="H163" s="51" t="s">
        <v>160</v>
      </c>
      <c r="I163" s="51">
        <v>0.10094589777417046</v>
      </c>
      <c r="J163" s="51">
        <v>0.18499124709239356</v>
      </c>
      <c r="K163" s="51">
        <v>0</v>
      </c>
      <c r="L163" s="47">
        <v>553960</v>
      </c>
      <c r="N163" s="46" t="s">
        <v>272</v>
      </c>
      <c r="R163" s="206"/>
      <c r="S163" s="206"/>
    </row>
    <row r="164" spans="1:19" s="46" customFormat="1">
      <c r="A164" s="47">
        <v>3</v>
      </c>
      <c r="B164" s="51" t="s">
        <v>172</v>
      </c>
      <c r="C164" s="51">
        <v>4.6367850450272745E-2</v>
      </c>
      <c r="D164" s="51">
        <v>8.8387162844609138E-2</v>
      </c>
      <c r="E164" s="51">
        <v>0.17639814121062405</v>
      </c>
      <c r="F164" s="47">
        <v>3689192</v>
      </c>
      <c r="G164" s="47">
        <v>3</v>
      </c>
      <c r="H164" s="51" t="s">
        <v>172</v>
      </c>
      <c r="I164" s="51">
        <v>0</v>
      </c>
      <c r="J164" s="51">
        <v>9.7862997425324158E-2</v>
      </c>
      <c r="K164" s="51">
        <v>0.15734390526618947</v>
      </c>
      <c r="L164" s="47">
        <v>3689192</v>
      </c>
      <c r="N164" s="46" t="s">
        <v>273</v>
      </c>
      <c r="R164" s="206"/>
      <c r="S164" s="206"/>
    </row>
    <row r="165" spans="1:19" s="46" customFormat="1">
      <c r="A165" s="47">
        <v>4</v>
      </c>
      <c r="B165" s="51" t="s">
        <v>170</v>
      </c>
      <c r="C165" s="51">
        <v>0.14499614160316388</v>
      </c>
      <c r="D165" s="51">
        <v>7.3581781613854896E-2</v>
      </c>
      <c r="E165" s="51">
        <v>0</v>
      </c>
      <c r="F165" s="47">
        <v>1692097</v>
      </c>
      <c r="G165" s="47">
        <v>4</v>
      </c>
      <c r="H165" s="51" t="s">
        <v>170</v>
      </c>
      <c r="I165" s="51">
        <v>0.13485966762838836</v>
      </c>
      <c r="J165" s="51">
        <v>9.6980355651783132E-2</v>
      </c>
      <c r="K165" s="51">
        <v>0</v>
      </c>
      <c r="L165" s="47">
        <v>1692097</v>
      </c>
      <c r="R165" s="206"/>
      <c r="S165" s="206"/>
    </row>
    <row r="166" spans="1:19" s="46" customFormat="1">
      <c r="A166" s="47">
        <v>5</v>
      </c>
      <c r="B166" s="51" t="s">
        <v>378</v>
      </c>
      <c r="C166" s="51">
        <v>0.13164263387607392</v>
      </c>
      <c r="D166" s="51">
        <v>6.6024262012122137E-2</v>
      </c>
      <c r="E166" s="51">
        <v>0.2809891988931833</v>
      </c>
      <c r="F166" s="47">
        <v>11115023</v>
      </c>
      <c r="G166" s="47">
        <v>5</v>
      </c>
      <c r="H166" s="51" t="s">
        <v>167</v>
      </c>
      <c r="I166" s="51">
        <v>0.23050979825613627</v>
      </c>
      <c r="J166" s="51">
        <v>7.9233575052504612E-2</v>
      </c>
      <c r="K166" s="51">
        <v>0.23305568395168666</v>
      </c>
      <c r="L166" s="47">
        <v>3050596</v>
      </c>
      <c r="R166" s="206"/>
      <c r="S166" s="206"/>
    </row>
    <row r="167" spans="1:19" s="46" customFormat="1">
      <c r="A167" s="47">
        <v>6</v>
      </c>
      <c r="B167" s="51" t="s">
        <v>157</v>
      </c>
      <c r="C167" s="51">
        <v>0</v>
      </c>
      <c r="D167" s="51">
        <v>0</v>
      </c>
      <c r="E167" s="51">
        <v>0.106235920603952</v>
      </c>
      <c r="F167" s="47">
        <v>2480382</v>
      </c>
      <c r="G167" s="47">
        <v>6</v>
      </c>
      <c r="H167" s="51" t="s">
        <v>378</v>
      </c>
      <c r="I167" s="51">
        <v>0</v>
      </c>
      <c r="J167" s="51">
        <v>0</v>
      </c>
      <c r="K167" s="51">
        <v>0.16797917550630517</v>
      </c>
      <c r="L167" s="47">
        <v>11115023</v>
      </c>
      <c r="R167" s="206"/>
      <c r="S167" s="206"/>
    </row>
    <row r="168" spans="1:19" s="46" customFormat="1">
      <c r="A168" s="47">
        <v>7</v>
      </c>
      <c r="B168" s="51" t="s">
        <v>244</v>
      </c>
      <c r="C168" s="51">
        <v>0</v>
      </c>
      <c r="D168" s="51">
        <v>0</v>
      </c>
      <c r="E168" s="51">
        <v>8.6059931630700068E-2</v>
      </c>
      <c r="F168" s="47">
        <v>7434864</v>
      </c>
      <c r="G168" s="47">
        <v>7</v>
      </c>
      <c r="H168" s="51" t="s">
        <v>361</v>
      </c>
      <c r="I168" s="51">
        <v>0</v>
      </c>
      <c r="J168" s="51">
        <v>0</v>
      </c>
      <c r="K168" s="51">
        <v>0.1543167126602677</v>
      </c>
      <c r="L168" s="47">
        <v>8497745</v>
      </c>
      <c r="R168" s="206"/>
      <c r="S168" s="206"/>
    </row>
    <row r="169" spans="1:19" s="46" customFormat="1">
      <c r="A169" s="47">
        <v>8</v>
      </c>
      <c r="B169" s="51" t="s">
        <v>169</v>
      </c>
      <c r="C169" s="51">
        <v>5.9863392701343825E-2</v>
      </c>
      <c r="D169" s="51">
        <v>0</v>
      </c>
      <c r="E169" s="51">
        <v>0</v>
      </c>
      <c r="F169" s="47">
        <v>14393110</v>
      </c>
      <c r="G169" s="47">
        <v>8</v>
      </c>
      <c r="H169" s="51" t="s">
        <v>171</v>
      </c>
      <c r="I169" s="51">
        <v>0.11641941892813094</v>
      </c>
      <c r="J169" s="51">
        <v>0</v>
      </c>
      <c r="K169" s="51">
        <v>0</v>
      </c>
      <c r="L169" s="47">
        <v>2887140</v>
      </c>
      <c r="R169" s="206"/>
      <c r="S169" s="206"/>
    </row>
    <row r="170" spans="1:19" s="46" customFormat="1">
      <c r="A170" s="47">
        <v>9</v>
      </c>
      <c r="B170" s="51" t="s">
        <v>245</v>
      </c>
      <c r="C170" s="51">
        <v>0.1615828856256295</v>
      </c>
      <c r="D170" s="51">
        <v>8.2242442314574893E-2</v>
      </c>
      <c r="E170" s="51">
        <v>0.25844716432308856</v>
      </c>
      <c r="F170" s="47">
        <v>5920853</v>
      </c>
      <c r="G170" s="47">
        <v>9</v>
      </c>
      <c r="H170" s="51" t="s">
        <v>245</v>
      </c>
      <c r="I170" s="51">
        <v>0.17495684703710479</v>
      </c>
      <c r="J170" s="51">
        <v>0.16589085997705144</v>
      </c>
      <c r="K170" s="51">
        <v>0.22894439756306273</v>
      </c>
      <c r="L170" s="47">
        <v>5920853</v>
      </c>
      <c r="R170" s="206"/>
      <c r="S170" s="206"/>
    </row>
    <row r="171" spans="1:19" s="46" customFormat="1">
      <c r="A171" s="47">
        <v>10</v>
      </c>
      <c r="B171" s="51"/>
      <c r="C171" s="51">
        <v>0</v>
      </c>
      <c r="D171" s="51">
        <v>0</v>
      </c>
      <c r="E171" s="51">
        <v>0</v>
      </c>
      <c r="F171" s="47"/>
      <c r="G171" s="47">
        <v>10</v>
      </c>
      <c r="H171" s="51"/>
      <c r="I171" s="51">
        <v>0</v>
      </c>
      <c r="J171" s="51">
        <v>0</v>
      </c>
      <c r="K171" s="51">
        <v>0</v>
      </c>
      <c r="L171" s="47"/>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4E13EC6C-2EE5-4D09-89B1-48C811D7B688}">
      <formula1>$C$112:$C$113</formula1>
    </dataValidation>
  </dataValidations>
  <hyperlinks>
    <hyperlink ref="O1:P1" location="Home_page" display="Back to home page" xr:uid="{50BE7A36-BCCB-43B5-A600-1EAE5EC8F880}"/>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395F48D1-35E4-454F-B53E-5484EC954D19}">
          <x14:colorSeries rgb="FF323232"/>
          <x14:colorNegative rgb="FFD00000"/>
          <x14:colorAxis rgb="FF000000"/>
          <x14:colorMarkers rgb="FFD00000"/>
          <x14:colorFirst rgb="FFD00000"/>
          <x14:colorLast rgb="FFD00000"/>
          <x14:colorHigh rgb="FFD00000"/>
          <x14:colorLow rgb="FFD00000"/>
          <x14:sparklines>
            <x14:sparkline>
              <xm:f>'Low activity over 10m'!D3:N3</xm:f>
              <xm:sqref>C3</xm:sqref>
            </x14:sparkline>
            <x14:sparkline>
              <xm:f>'Low activity over 10m'!D4:N4</xm:f>
              <xm:sqref>C4</xm:sqref>
            </x14:sparkline>
            <x14:sparkline>
              <xm:f>'Low activity over 10m'!D5:N5</xm:f>
              <xm:sqref>C5</xm:sqref>
            </x14:sparkline>
            <x14:sparkline>
              <xm:f>'Low activity over 10m'!D6:N6</xm:f>
              <xm:sqref>C6</xm:sqref>
            </x14:sparkline>
            <x14:sparkline>
              <xm:f>'Low activity over 10m'!D7:N7</xm:f>
              <xm:sqref>C7</xm:sqref>
            </x14:sparkline>
            <x14:sparkline>
              <xm:f>'Low activity over 10m'!D8:N8</xm:f>
              <xm:sqref>C8</xm:sqref>
            </x14:sparkline>
            <x14:sparkline>
              <xm:f>'Low activity over 10m'!D9:N9</xm:f>
              <xm:sqref>C9</xm:sqref>
            </x14:sparkline>
            <x14:sparkline>
              <xm:f>'Low activity over 10m'!D10:N10</xm:f>
              <xm:sqref>C10</xm:sqref>
            </x14:sparkline>
            <x14:sparkline>
              <xm:f>'Low activity over 10m'!D11:N11</xm:f>
              <xm:sqref>C11</xm:sqref>
            </x14:sparkline>
            <x14:sparkline>
              <xm:f>'Low activity over 10m'!D12:N12</xm:f>
              <xm:sqref>C12</xm:sqref>
            </x14:sparkline>
            <x14:sparkline>
              <xm:f>'Low activity over 10m'!D13:N13</xm:f>
              <xm:sqref>C13</xm:sqref>
            </x14:sparkline>
            <x14:sparkline>
              <xm:f>'Low activity over 10m'!D14:N14</xm:f>
              <xm:sqref>C14</xm:sqref>
            </x14:sparkline>
            <x14:sparkline>
              <xm:f>'Low activity over 10m'!D15:N15</xm:f>
              <xm:sqref>C15</xm:sqref>
            </x14:sparkline>
            <x14:sparkline>
              <xm:f>'Low activity over 10m'!D16:N16</xm:f>
              <xm:sqref>C16</xm:sqref>
            </x14:sparkline>
            <x14:sparkline>
              <xm:f>'Low activity over 10m'!D17:N17</xm:f>
              <xm:sqref>C17</xm:sqref>
            </x14:sparkline>
            <x14:sparkline>
              <xm:f>'Low activity over 10m'!D18:N18</xm:f>
              <xm:sqref>C18</xm:sqref>
            </x14:sparkline>
            <x14:sparkline>
              <xm:f>'Low activity over 10m'!D19:N19</xm:f>
              <xm:sqref>C19</xm:sqref>
            </x14:sparkline>
            <x14:sparkline>
              <xm:f>'Low activity over 10m'!D20:N20</xm:f>
              <xm:sqref>C20</xm:sqref>
            </x14:sparkline>
            <x14:sparkline>
              <xm:f>'Low activity over 10m'!D21:N21</xm:f>
              <xm:sqref>C21</xm:sqref>
            </x14:sparkline>
            <x14:sparkline>
              <xm:f>'Low activity over 10m'!D22:N22</xm:f>
              <xm:sqref>C22</xm:sqref>
            </x14:sparkline>
            <x14:sparkline>
              <xm:f>'Low activity over 10m'!D23:N23</xm:f>
              <xm:sqref>C23</xm:sqref>
            </x14:sparkline>
            <x14:sparkline>
              <xm:f>'Low activity over 10m'!D24:N24</xm:f>
              <xm:sqref>C24</xm:sqref>
            </x14:sparkline>
            <x14:sparkline>
              <xm:f>'Low activity over 10m'!D25:N25</xm:f>
              <xm:sqref>C25</xm:sqref>
            </x14:sparkline>
            <x14:sparkline>
              <xm:f>'Low activity over 10m'!D26:N26</xm:f>
              <xm:sqref>C26</xm:sqref>
            </x14:sparkline>
            <x14:sparkline>
              <xm:f>'Low activity over 10m'!D27:N27</xm:f>
              <xm:sqref>C27</xm:sqref>
            </x14:sparkline>
            <x14:sparkline>
              <xm:f>'Low activity over 10m'!D28:N28</xm:f>
              <xm:sqref>C28</xm:sqref>
            </x14:sparkline>
            <x14:sparkline>
              <xm:f>'Low activity over 10m'!D29:N29</xm:f>
              <xm:sqref>C29</xm:sqref>
            </x14:sparkline>
            <x14:sparkline>
              <xm:f>'Low activity over 10m'!D30:N30</xm:f>
              <xm:sqref>C30</xm:sqref>
            </x14:sparkline>
            <x14:sparkline>
              <xm:f>'Low activity over 10m'!D31:N31</xm:f>
              <xm:sqref>C31</xm:sqref>
            </x14:sparkline>
            <x14:sparkline>
              <xm:f>'Low activity over 10m'!D32:N32</xm:f>
              <xm:sqref>C32</xm:sqref>
            </x14:sparkline>
            <x14:sparkline>
              <xm:f>'Low activity over 10m'!D33:N33</xm:f>
              <xm:sqref>C33</xm:sqref>
            </x14:sparkline>
            <x14:sparkline>
              <xm:f>'Low activity over 10m'!D34:N34</xm:f>
              <xm:sqref>C34</xm:sqref>
            </x14:sparkline>
            <x14:sparkline>
              <xm:f>'Low activity over 10m'!D35:N35</xm:f>
              <xm:sqref>C35</xm:sqref>
            </x14:sparkline>
            <x14:sparkline>
              <xm:f>'Low activity over 10m'!D36:N36</xm:f>
              <xm:sqref>C36</xm:sqref>
            </x14:sparkline>
            <x14:sparkline>
              <xm:f>'Low activity over 10m'!D37:N37</xm:f>
              <xm:sqref>C37</xm:sqref>
            </x14:sparkline>
            <x14:sparkline>
              <xm:f>'Low activity over 10m'!D38:N38</xm:f>
              <xm:sqref>C38</xm:sqref>
            </x14:sparkline>
            <x14:sparkline>
              <xm:f>'Low activity over 10m'!D39:N39</xm:f>
              <xm:sqref>C39</xm:sqref>
            </x14:sparkline>
            <x14:sparkline>
              <xm:f>'Low activity over 10m'!D40:N40</xm:f>
              <xm:sqref>C40</xm:sqref>
            </x14:sparkline>
            <x14:sparkline>
              <xm:f>'Low activity over 10m'!D41:N41</xm:f>
              <xm:sqref>C41</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F0D17-CB7F-452F-9DAA-E97B14BD5F57}">
  <sheetPr codeName="Feuil15">
    <pageSetUpPr fitToPage="1"/>
  </sheetPr>
  <dimension ref="A1:S192"/>
  <sheetViews>
    <sheetView topLeftCell="A43"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19</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1759</v>
      </c>
      <c r="E3" s="27">
        <v>1705</v>
      </c>
      <c r="F3" s="27">
        <v>1717</v>
      </c>
      <c r="G3" s="27">
        <v>1679</v>
      </c>
      <c r="H3" s="27">
        <v>1575</v>
      </c>
      <c r="I3" s="27">
        <v>1684</v>
      </c>
      <c r="J3" s="27">
        <v>1671</v>
      </c>
      <c r="K3" s="27">
        <v>1624</v>
      </c>
      <c r="L3" s="27">
        <v>1528</v>
      </c>
      <c r="M3" s="27">
        <v>1492</v>
      </c>
      <c r="N3" s="27">
        <v>1496</v>
      </c>
      <c r="O3" s="28">
        <f t="shared" ref="O3:O41" si="0">IF(N3=0,"",IFERROR(IF(AND(N3&gt;0,D3&lt;0),"na",IF(AND(N3&lt;0,D3&lt;0),-1,1)*(N3-D3)/D3),""))</f>
        <v>-0.14951677089255258</v>
      </c>
      <c r="P3" s="28">
        <f t="shared" ref="P3:P41" si="1">IF(N3=0,"",IFERROR(IF(AND(N3&gt;0,J3&lt;0),"na",IF(AND(N3&lt;0,J3&lt;0),-1,1)*(N3-J3)/J3),""))</f>
        <v>-0.1047277079593058</v>
      </c>
      <c r="Q3" s="206"/>
    </row>
    <row r="4" spans="1:17" ht="18" customHeight="1">
      <c r="A4" s="172"/>
      <c r="B4" s="29" t="s">
        <v>184</v>
      </c>
      <c r="C4" s="30"/>
      <c r="D4" s="30">
        <v>64517</v>
      </c>
      <c r="E4" s="30">
        <v>63831</v>
      </c>
      <c r="F4" s="30">
        <v>62887</v>
      </c>
      <c r="G4" s="30">
        <v>63527</v>
      </c>
      <c r="H4" s="30">
        <v>59630</v>
      </c>
      <c r="I4" s="30">
        <v>63944</v>
      </c>
      <c r="J4" s="30">
        <v>64694</v>
      </c>
      <c r="K4" s="30">
        <v>61733</v>
      </c>
      <c r="L4" s="30">
        <v>56089</v>
      </c>
      <c r="M4" s="30">
        <v>54457</v>
      </c>
      <c r="N4" s="30">
        <v>55572</v>
      </c>
      <c r="O4" s="28">
        <f t="shared" si="0"/>
        <v>-0.13864562828401816</v>
      </c>
      <c r="P4" s="28">
        <f t="shared" si="1"/>
        <v>-0.14100225677806288</v>
      </c>
      <c r="Q4" s="206"/>
    </row>
    <row r="5" spans="1:17" ht="18" customHeight="1">
      <c r="A5" s="172"/>
      <c r="B5" s="29" t="s">
        <v>185</v>
      </c>
      <c r="C5" s="30"/>
      <c r="D5" s="30">
        <v>4160.31982421875</v>
      </c>
      <c r="E5" s="30">
        <v>4021.550048828125</v>
      </c>
      <c r="F5" s="30">
        <v>3887.64990234375</v>
      </c>
      <c r="G5" s="30">
        <v>3882.6298828125</v>
      </c>
      <c r="H5" s="30">
        <v>3671.070068359375</v>
      </c>
      <c r="I5" s="30">
        <v>3916.239990234375</v>
      </c>
      <c r="J5" s="30">
        <v>5450.56005859375</v>
      </c>
      <c r="K5" s="30">
        <v>3681.1201171875</v>
      </c>
      <c r="L5" s="30">
        <v>3423.8798828125</v>
      </c>
      <c r="M5" s="30">
        <v>3322.64990234375</v>
      </c>
      <c r="N5" s="30">
        <v>3536.97998046875</v>
      </c>
      <c r="O5" s="28">
        <f t="shared" si="0"/>
        <v>-0.14982978955639656</v>
      </c>
      <c r="P5" s="28">
        <f t="shared" si="1"/>
        <v>-0.35107953266342057</v>
      </c>
      <c r="Q5" s="207"/>
    </row>
    <row r="6" spans="1:17" ht="18" customHeight="1">
      <c r="A6" s="172"/>
      <c r="B6" s="29" t="s">
        <v>186</v>
      </c>
      <c r="C6" s="30"/>
      <c r="D6" s="30">
        <v>57159.26171875</v>
      </c>
      <c r="E6" s="30">
        <v>56221.453125</v>
      </c>
      <c r="F6" s="30">
        <v>55394.70703125</v>
      </c>
      <c r="G6" s="30">
        <v>55430.74609375</v>
      </c>
      <c r="H6" s="30">
        <v>52511.92578125</v>
      </c>
      <c r="I6" s="30">
        <v>56094.67578125</v>
      </c>
      <c r="J6" s="30">
        <v>56073.67578125</v>
      </c>
      <c r="K6" s="30">
        <v>53834.78515625</v>
      </c>
      <c r="L6" s="30">
        <v>49774.34375</v>
      </c>
      <c r="M6" s="30">
        <v>48268.7421875</v>
      </c>
      <c r="N6" s="30">
        <v>49572.75390625</v>
      </c>
      <c r="O6" s="28">
        <f t="shared" si="0"/>
        <v>-0.13272578379037026</v>
      </c>
      <c r="P6" s="28">
        <f t="shared" si="1"/>
        <v>-0.11593536154756218</v>
      </c>
      <c r="Q6" s="206"/>
    </row>
    <row r="7" spans="1:17" ht="18" customHeight="1">
      <c r="A7" s="172"/>
      <c r="B7" s="29" t="s">
        <v>187</v>
      </c>
      <c r="C7" s="30"/>
      <c r="D7" s="30">
        <v>2654.167236328125</v>
      </c>
      <c r="E7" s="30">
        <v>2761.952880859375</v>
      </c>
      <c r="F7" s="30">
        <v>2308.896484375</v>
      </c>
      <c r="G7" s="30">
        <v>2332.751708984375</v>
      </c>
      <c r="H7" s="30">
        <v>2221.367919921875</v>
      </c>
      <c r="I7" s="30">
        <v>2281.4736328125</v>
      </c>
      <c r="J7" s="30">
        <v>2181.417236328125</v>
      </c>
      <c r="K7" s="30">
        <v>1829.851318359375</v>
      </c>
      <c r="L7" s="30">
        <v>1718.9920654296875</v>
      </c>
      <c r="M7" s="30">
        <v>1585.906005859375</v>
      </c>
      <c r="N7" s="30">
        <v>1694.760009765625</v>
      </c>
      <c r="O7" s="28">
        <f t="shared" si="0"/>
        <v>-0.36147203289638224</v>
      </c>
      <c r="P7" s="28">
        <f t="shared" si="1"/>
        <v>-0.22309222575946397</v>
      </c>
      <c r="Q7" s="206"/>
    </row>
    <row r="8" spans="1:17" ht="18" customHeight="1">
      <c r="A8" s="172"/>
      <c r="B8" s="29" t="s">
        <v>188</v>
      </c>
      <c r="C8" s="31"/>
      <c r="D8" s="31">
        <f ca="1">6.944725*OFFSET(D$112,MATCH($N$1,$C$112:$C$113,0)-1,0)</f>
        <v>6.944725</v>
      </c>
      <c r="E8" s="31">
        <f ca="1">7.081913*OFFSET(E$112,MATCH($N$1,$C$112:$C$113,0)-1,0)</f>
        <v>7.0819130000000001</v>
      </c>
      <c r="F8" s="31">
        <f ca="1">6.8571765*OFFSET(F$112,MATCH($N$1,$C$112:$C$113,0)-1,0)</f>
        <v>6.8571764999999996</v>
      </c>
      <c r="G8" s="31">
        <f ca="1">6.7224855*OFFSET(G$112,MATCH($N$1,$C$112:$C$113,0)-1,0)</f>
        <v>6.7224855000000003</v>
      </c>
      <c r="H8" s="31">
        <f ca="1">5.706326*OFFSET(H$112,MATCH($N$1,$C$112:$C$113,0)-1,0)</f>
        <v>5.7063259999999998</v>
      </c>
      <c r="I8" s="31">
        <f ca="1">6.163565*OFFSET(I$112,MATCH($N$1,$C$112:$C$113,0)-1,0)</f>
        <v>6.1635650000000002</v>
      </c>
      <c r="J8" s="31">
        <f ca="1">6.317254*OFFSET(J$112,MATCH($N$1,$C$112:$C$113,0)-1,0)</f>
        <v>6.3172540000000001</v>
      </c>
      <c r="K8" s="31">
        <f ca="1">5.9035885*OFFSET(K$112,MATCH($N$1,$C$112:$C$113,0)-1,0)</f>
        <v>5.9035884999999997</v>
      </c>
      <c r="L8" s="31">
        <f ca="1">5.5978415*OFFSET(L$112,MATCH($N$1,$C$112:$C$113,0)-1,0)</f>
        <v>5.5978415000000004</v>
      </c>
      <c r="M8" s="31">
        <f ca="1">5.162184*OFFSET(M$112,MATCH($N$1,$C$112:$C$113,0)-1,0)</f>
        <v>5.1621839999999999</v>
      </c>
      <c r="N8" s="31">
        <v>5.0267305000000002</v>
      </c>
      <c r="O8" s="28">
        <f t="shared" ca="1" si="0"/>
        <v>-0.27618005032596682</v>
      </c>
      <c r="P8" s="28">
        <f t="shared" ca="1" si="1"/>
        <v>-0.20428551709334467</v>
      </c>
      <c r="Q8" s="206"/>
    </row>
    <row r="9" spans="1:17" ht="18" customHeight="1">
      <c r="A9" s="172"/>
      <c r="B9" s="29" t="s">
        <v>189</v>
      </c>
      <c r="C9" s="30"/>
      <c r="D9" s="30">
        <v>43196</v>
      </c>
      <c r="E9" s="30">
        <v>41934</v>
      </c>
      <c r="F9" s="30">
        <v>40232</v>
      </c>
      <c r="G9" s="30">
        <v>42385</v>
      </c>
      <c r="H9" s="30">
        <v>43363</v>
      </c>
      <c r="I9" s="30">
        <v>50104</v>
      </c>
      <c r="J9" s="30">
        <v>42100</v>
      </c>
      <c r="K9" s="30">
        <v>30037</v>
      </c>
      <c r="L9" s="30">
        <v>28802</v>
      </c>
      <c r="M9" s="30">
        <v>27335</v>
      </c>
      <c r="N9" s="30">
        <v>26645</v>
      </c>
      <c r="O9" s="28">
        <f t="shared" si="0"/>
        <v>-0.38316047782202056</v>
      </c>
      <c r="P9" s="28">
        <f t="shared" si="1"/>
        <v>-0.36710213776722089</v>
      </c>
      <c r="Q9" s="206"/>
    </row>
    <row r="10" spans="1:17" ht="18" customHeight="1">
      <c r="A10" s="172"/>
      <c r="B10" s="29" t="s">
        <v>190</v>
      </c>
      <c r="C10" s="30"/>
      <c r="D10" s="30">
        <v>280.1671142578125</v>
      </c>
      <c r="E10" s="30">
        <v>298.49685668945313</v>
      </c>
      <c r="F10" s="30">
        <v>174.82438659667969</v>
      </c>
      <c r="G10" s="30">
        <v>209.74104309082031</v>
      </c>
      <c r="H10" s="30">
        <v>188.84733581542969</v>
      </c>
      <c r="I10" s="30">
        <v>205.85212707519531</v>
      </c>
      <c r="J10" s="30">
        <v>183.96249389648438</v>
      </c>
      <c r="K10" s="30">
        <v>135.3173828125</v>
      </c>
      <c r="L10" s="30">
        <v>127.60006713867188</v>
      </c>
      <c r="M10" s="30">
        <v>91.161231994628906</v>
      </c>
      <c r="N10" s="30">
        <v>92.309738159179688</v>
      </c>
      <c r="O10" s="32">
        <f t="shared" si="0"/>
        <v>-0.67051901004257275</v>
      </c>
      <c r="P10" s="32">
        <f t="shared" si="1"/>
        <v>-0.4982143576987908</v>
      </c>
      <c r="Q10" s="206"/>
    </row>
    <row r="11" spans="1:17" ht="18" customHeight="1">
      <c r="A11" s="173" t="s">
        <v>191</v>
      </c>
      <c r="B11" s="33" t="s">
        <v>192</v>
      </c>
      <c r="C11" s="34"/>
      <c r="D11" s="34">
        <v>6.4812278747558594</v>
      </c>
      <c r="E11" s="34">
        <v>6.4667859077453613</v>
      </c>
      <c r="F11" s="34">
        <v>6.4117474555969238</v>
      </c>
      <c r="G11" s="34">
        <v>6.4550089836120605</v>
      </c>
      <c r="H11" s="34">
        <v>6.4699110984802246</v>
      </c>
      <c r="I11" s="34">
        <v>6.464993953704834</v>
      </c>
      <c r="J11" s="34">
        <v>6.4492521286010742</v>
      </c>
      <c r="K11" s="34">
        <v>6.3980236053466797</v>
      </c>
      <c r="L11" s="34">
        <v>6.3949475288391113</v>
      </c>
      <c r="M11" s="34">
        <v>6.3589744567871094</v>
      </c>
      <c r="N11" s="34">
        <v>6.4606485366821289</v>
      </c>
      <c r="O11" s="28">
        <f t="shared" si="0"/>
        <v>-3.1752221139895761E-3</v>
      </c>
      <c r="P11" s="28">
        <f t="shared" si="1"/>
        <v>1.7670898662054191E-3</v>
      </c>
      <c r="Q11" s="206"/>
    </row>
    <row r="12" spans="1:17" ht="18" customHeight="1">
      <c r="A12" s="174"/>
      <c r="B12" s="35" t="s">
        <v>184</v>
      </c>
      <c r="C12" s="30"/>
      <c r="D12" s="30">
        <v>37.036167144775391</v>
      </c>
      <c r="E12" s="30">
        <v>37.859432220458984</v>
      </c>
      <c r="F12" s="30">
        <v>37.21124267578125</v>
      </c>
      <c r="G12" s="30">
        <v>38.292343139648438</v>
      </c>
      <c r="H12" s="30">
        <v>38.396652221679688</v>
      </c>
      <c r="I12" s="30">
        <v>38.590221405029297</v>
      </c>
      <c r="J12" s="30">
        <v>39.303768157958984</v>
      </c>
      <c r="K12" s="30">
        <v>38.486907958984375</v>
      </c>
      <c r="L12" s="30">
        <v>37.120449066162109</v>
      </c>
      <c r="M12" s="30">
        <v>36.919998168945313</v>
      </c>
      <c r="N12" s="30">
        <v>37.548648834228516</v>
      </c>
      <c r="O12" s="28">
        <f t="shared" si="0"/>
        <v>1.3837330613878592E-2</v>
      </c>
      <c r="P12" s="28">
        <f t="shared" si="1"/>
        <v>-4.4655243148106614E-2</v>
      </c>
      <c r="Q12" s="206"/>
    </row>
    <row r="13" spans="1:17" ht="18" customHeight="1">
      <c r="A13" s="174"/>
      <c r="B13" s="35" t="s">
        <v>185</v>
      </c>
      <c r="C13" s="30"/>
      <c r="D13" s="30">
        <v>2.3868732452392578</v>
      </c>
      <c r="E13" s="30">
        <v>2.3838469982147217</v>
      </c>
      <c r="F13" s="30">
        <v>2.300384521484375</v>
      </c>
      <c r="G13" s="30">
        <v>2.3403434753417969</v>
      </c>
      <c r="H13" s="30">
        <v>2.3608167171478271</v>
      </c>
      <c r="I13" s="30">
        <v>2.3648791313171387</v>
      </c>
      <c r="J13" s="30">
        <v>3.3134102821350098</v>
      </c>
      <c r="K13" s="30">
        <v>2.2949626445770264</v>
      </c>
      <c r="L13" s="30">
        <v>2.2719841003417969</v>
      </c>
      <c r="M13" s="30">
        <v>2.257235050201416</v>
      </c>
      <c r="N13" s="30">
        <v>2.3963279724121094</v>
      </c>
      <c r="O13" s="28">
        <f t="shared" si="0"/>
        <v>3.9611350086182851E-3</v>
      </c>
      <c r="P13" s="28">
        <f t="shared" si="1"/>
        <v>-0.27677897743830704</v>
      </c>
      <c r="Q13" s="206"/>
    </row>
    <row r="14" spans="1:17" ht="18" customHeight="1">
      <c r="A14" s="174"/>
      <c r="B14" s="35" t="s">
        <v>186</v>
      </c>
      <c r="C14" s="30"/>
      <c r="D14" s="30">
        <v>32.774806976318359</v>
      </c>
      <c r="E14" s="30">
        <v>33.306549072265625</v>
      </c>
      <c r="F14" s="30">
        <v>32.739189147949219</v>
      </c>
      <c r="G14" s="30">
        <v>33.412143707275391</v>
      </c>
      <c r="H14" s="30">
        <v>33.769725799560547</v>
      </c>
      <c r="I14" s="30">
        <v>33.832733154296875</v>
      </c>
      <c r="J14" s="30">
        <v>34.025287628173828</v>
      </c>
      <c r="K14" s="30">
        <v>33.500175476074219</v>
      </c>
      <c r="L14" s="30">
        <v>32.897781372070313</v>
      </c>
      <c r="M14" s="30">
        <v>32.702400207519531</v>
      </c>
      <c r="N14" s="30">
        <v>33.472488403320313</v>
      </c>
      <c r="O14" s="28">
        <f t="shared" si="0"/>
        <v>2.1287125428566738E-2</v>
      </c>
      <c r="P14" s="28">
        <f t="shared" si="1"/>
        <v>-1.6246717173840537E-2</v>
      </c>
      <c r="Q14" s="206"/>
    </row>
    <row r="15" spans="1:17" ht="18" customHeight="1">
      <c r="A15" s="174"/>
      <c r="B15" s="35" t="s">
        <v>187</v>
      </c>
      <c r="C15" s="31"/>
      <c r="D15" s="31">
        <v>1.5089068412780762</v>
      </c>
      <c r="E15" s="31">
        <v>1.6199136972427368</v>
      </c>
      <c r="F15" s="31">
        <v>1.3447270393371582</v>
      </c>
      <c r="G15" s="31">
        <v>1.3893696069717407</v>
      </c>
      <c r="H15" s="31">
        <v>1.4103924036026001</v>
      </c>
      <c r="I15" s="31">
        <v>1.3547942638397217</v>
      </c>
      <c r="J15" s="31">
        <v>1.3054561614990234</v>
      </c>
      <c r="K15" s="31">
        <v>1.1267557144165039</v>
      </c>
      <c r="L15" s="31">
        <v>1.1249948740005493</v>
      </c>
      <c r="M15" s="31">
        <v>1.0629396438598633</v>
      </c>
      <c r="N15" s="31">
        <v>1.1328610181808472</v>
      </c>
      <c r="O15" s="28">
        <f t="shared" si="0"/>
        <v>-0.24921738891362583</v>
      </c>
      <c r="P15" s="28">
        <f t="shared" si="1"/>
        <v>-0.13221060071445792</v>
      </c>
      <c r="Q15" s="206"/>
    </row>
    <row r="16" spans="1:17" ht="18" customHeight="1">
      <c r="A16" s="174"/>
      <c r="B16" s="35" t="s">
        <v>193</v>
      </c>
      <c r="C16" s="31"/>
      <c r="D16" s="31">
        <f ca="1">3.94810961914063*OFFSET(D$112,MATCH($N$1,$C$112:$C$113,0)-1,0)</f>
        <v>3.94810961914063</v>
      </c>
      <c r="E16" s="31">
        <f ca="1">4.15361474609375*OFFSET(E$112,MATCH($N$1,$C$112:$C$113,0)-1,0)</f>
        <v>4.1536147460937496</v>
      </c>
      <c r="F16" s="31">
        <f ca="1">3.99369653320313*OFFSET(F$112,MATCH($N$1,$C$112:$C$113,0)-1,0)</f>
        <v>3.99369653320313</v>
      </c>
      <c r="G16" s="31">
        <f ca="1">4.00386279296875*OFFSET(G$112,MATCH($N$1,$C$112:$C$113,0)-1,0)</f>
        <v>4.00386279296875</v>
      </c>
      <c r="H16" s="31">
        <f ca="1">3.62306420898437*OFFSET(H$112,MATCH($N$1,$C$112:$C$113,0)-1,0)</f>
        <v>3.6230642089843701</v>
      </c>
      <c r="I16" s="31">
        <f ca="1">3.66007421875*OFFSET(I$112,MATCH($N$1,$C$112:$C$113,0)-1,0)</f>
        <v>3.6600742187500002</v>
      </c>
      <c r="J16" s="31">
        <f ca="1">3.78052294921875*OFFSET(J$112,MATCH($N$1,$C$112:$C$113,0)-1,0)</f>
        <v>3.7805229492187502</v>
      </c>
      <c r="K16" s="31">
        <f ca="1">3.63521459960937*OFFSET(K$112,MATCH($N$1,$C$112:$C$113,0)-1,0)</f>
        <v>3.6352145996093701</v>
      </c>
      <c r="L16" s="31">
        <f ca="1">3.6635087890625*OFFSET(L$112,MATCH($N$1,$C$112:$C$113,0)-1,0)</f>
        <v>3.6635087890625</v>
      </c>
      <c r="M16" s="31">
        <f ca="1">3.45990893554688*OFFSET(M$112,MATCH($N$1,$C$112:$C$113,0)-1,0)</f>
        <v>3.4599089355468799</v>
      </c>
      <c r="N16" s="31">
        <v>3.360114013671875</v>
      </c>
      <c r="O16" s="28">
        <f t="shared" ca="1" si="0"/>
        <v>-0.14893092193239096</v>
      </c>
      <c r="P16" s="28">
        <f t="shared" ca="1" si="1"/>
        <v>-0.11120391046263936</v>
      </c>
      <c r="Q16" s="206"/>
    </row>
    <row r="17" spans="1:16" ht="18" customHeight="1">
      <c r="A17" s="174"/>
      <c r="B17" s="35" t="s">
        <v>189</v>
      </c>
      <c r="C17" s="30"/>
      <c r="D17" s="30">
        <v>24.557134628295898</v>
      </c>
      <c r="E17" s="30">
        <v>24.594720840454102</v>
      </c>
      <c r="F17" s="30">
        <v>23.43156623840332</v>
      </c>
      <c r="G17" s="30">
        <v>25.244192123413086</v>
      </c>
      <c r="H17" s="30">
        <v>27.532064437866211</v>
      </c>
      <c r="I17" s="30">
        <v>29.752969741821289</v>
      </c>
      <c r="J17" s="30">
        <v>25.194494247436523</v>
      </c>
      <c r="K17" s="30">
        <v>18.495689392089844</v>
      </c>
      <c r="L17" s="30">
        <v>18.849475860595703</v>
      </c>
      <c r="M17" s="30">
        <v>18.321044921875</v>
      </c>
      <c r="N17" s="30">
        <v>17.810829162597656</v>
      </c>
      <c r="O17" s="28">
        <f t="shared" si="0"/>
        <v>-0.27471875558009234</v>
      </c>
      <c r="P17" s="28">
        <f t="shared" si="1"/>
        <v>-0.29306661258303041</v>
      </c>
    </row>
    <row r="18" spans="1:16" ht="18" customHeight="1">
      <c r="A18" s="174"/>
      <c r="B18" s="35" t="s">
        <v>194</v>
      </c>
      <c r="C18" s="30"/>
      <c r="D18" s="30">
        <v>24.18864631652832</v>
      </c>
      <c r="E18" s="30">
        <v>24.819313049316406</v>
      </c>
      <c r="F18" s="30">
        <v>24.989360809326172</v>
      </c>
      <c r="G18" s="30">
        <v>25.495479583740234</v>
      </c>
      <c r="H18" s="30">
        <v>25.917041778564453</v>
      </c>
      <c r="I18" s="30">
        <v>26.276840209960938</v>
      </c>
      <c r="J18" s="30">
        <v>26.598907470703125</v>
      </c>
      <c r="K18" s="30">
        <v>27.72602653503418</v>
      </c>
      <c r="L18" s="30">
        <v>28.283918380737305</v>
      </c>
      <c r="M18" s="30">
        <v>28.735912322998047</v>
      </c>
      <c r="N18" s="30">
        <v>28.322057723999023</v>
      </c>
      <c r="O18" s="28">
        <f t="shared" si="0"/>
        <v>0.17088229549440748</v>
      </c>
      <c r="P18" s="28">
        <f t="shared" si="1"/>
        <v>6.4782745501627478E-2</v>
      </c>
    </row>
    <row r="19" spans="1:16" ht="18" customHeight="1">
      <c r="A19" s="174"/>
      <c r="B19" s="35" t="s">
        <v>195</v>
      </c>
      <c r="C19" s="36"/>
      <c r="D19" s="36">
        <v>6.1444744467735291E-2</v>
      </c>
      <c r="E19" s="36">
        <v>6.5864287316799164E-2</v>
      </c>
      <c r="F19" s="36">
        <v>5.7389549911022186E-2</v>
      </c>
      <c r="G19" s="36">
        <v>5.5037196725606918E-2</v>
      </c>
      <c r="H19" s="36">
        <v>5.122726783156395E-2</v>
      </c>
      <c r="I19" s="36">
        <v>4.5534756034612656E-2</v>
      </c>
      <c r="J19" s="36">
        <v>5.1815137267112732E-2</v>
      </c>
      <c r="K19" s="36">
        <v>6.0919910669326782E-2</v>
      </c>
      <c r="L19" s="36">
        <v>5.9683084487915039E-2</v>
      </c>
      <c r="M19" s="36">
        <v>5.8017414063215256E-2</v>
      </c>
      <c r="N19" s="36">
        <v>6.3605181872844696E-2</v>
      </c>
      <c r="O19" s="28">
        <f t="shared" si="0"/>
        <v>3.516065407748345E-2</v>
      </c>
      <c r="P19" s="28">
        <f t="shared" si="1"/>
        <v>0.22754054563153983</v>
      </c>
    </row>
    <row r="20" spans="1:16" ht="18" customHeight="1">
      <c r="A20" s="175"/>
      <c r="B20" s="37" t="s">
        <v>196</v>
      </c>
      <c r="C20" s="38"/>
      <c r="D20" s="38">
        <f ca="1">2617*OFFSET(D$112,MATCH($N$1,$C$112:$C$113,0)-1,0)</f>
        <v>2617</v>
      </c>
      <c r="E20" s="38">
        <f ca="1">2564*OFFSET(E$112,MATCH($N$1,$C$112:$C$113,0)-1,0)</f>
        <v>2564</v>
      </c>
      <c r="F20" s="38">
        <f ca="1">2970*OFFSET(F$112,MATCH($N$1,$C$112:$C$113,0)-1,0)</f>
        <v>2970</v>
      </c>
      <c r="G20" s="38">
        <f ca="1">2882*OFFSET(G$112,MATCH($N$1,$C$112:$C$113,0)-1,0)</f>
        <v>2882</v>
      </c>
      <c r="H20" s="38">
        <f ca="1">2569*OFFSET(H$112,MATCH($N$1,$C$112:$C$113,0)-1,0)</f>
        <v>2569</v>
      </c>
      <c r="I20" s="38">
        <f ca="1">2702*OFFSET(I$112,MATCH($N$1,$C$112:$C$113,0)-1,0)</f>
        <v>2702</v>
      </c>
      <c r="J20" s="38">
        <f ca="1">2896*OFFSET(J$112,MATCH($N$1,$C$112:$C$113,0)-1,0)</f>
        <v>2896</v>
      </c>
      <c r="K20" s="38">
        <f ca="1">3226*OFFSET(K$112,MATCH($N$1,$C$112:$C$113,0)-1,0)</f>
        <v>3226</v>
      </c>
      <c r="L20" s="38">
        <f ca="1">3256*OFFSET(L$112,MATCH($N$1,$C$112:$C$113,0)-1,0)</f>
        <v>3256</v>
      </c>
      <c r="M20" s="38">
        <f ca="1">3255*OFFSET(M$112,MATCH($N$1,$C$112:$C$113,0)-1,0)</f>
        <v>3255</v>
      </c>
      <c r="N20" s="38">
        <v>2966</v>
      </c>
      <c r="O20" s="32">
        <f t="shared" ca="1" si="0"/>
        <v>0.13335880779518533</v>
      </c>
      <c r="P20" s="32">
        <f t="shared" ca="1" si="1"/>
        <v>2.4171270718232045E-2</v>
      </c>
    </row>
    <row r="21" spans="1:16" ht="18" customHeight="1">
      <c r="A21" s="176" t="s">
        <v>197</v>
      </c>
      <c r="B21" s="33" t="s">
        <v>198</v>
      </c>
      <c r="C21" s="39"/>
      <c r="D21" s="39">
        <v>1.8909341745829331</v>
      </c>
      <c r="E21" s="39">
        <v>2.0288179722484694</v>
      </c>
      <c r="F21" s="39">
        <v>1.6885873937170193</v>
      </c>
      <c r="G21" s="39">
        <v>1.5783058401426224</v>
      </c>
      <c r="H21" s="39">
        <v>1.4114384911024449</v>
      </c>
      <c r="I21" s="39">
        <v>1.2766409891640842</v>
      </c>
      <c r="J21" s="39">
        <v>1.4874768848697868</v>
      </c>
      <c r="K21" s="39">
        <v>1.7271306304017957</v>
      </c>
      <c r="L21" s="39">
        <v>1.7050403649817785</v>
      </c>
      <c r="M21" s="39">
        <v>1.6030943940493534</v>
      </c>
      <c r="N21" s="39">
        <v>1.7054947125840729</v>
      </c>
      <c r="O21" s="28">
        <f t="shared" si="0"/>
        <v>-9.8067645342419685E-2</v>
      </c>
      <c r="P21" s="28">
        <f t="shared" si="1"/>
        <v>0.146568884486142</v>
      </c>
    </row>
    <row r="22" spans="1:16" ht="18" customHeight="1">
      <c r="A22" s="176"/>
      <c r="B22" s="35" t="s">
        <v>199</v>
      </c>
      <c r="C22" s="36"/>
      <c r="D22" s="36">
        <f ca="1">4.94769802853374*OFFSET(D$112,MATCH($N$1,$C$112:$C$113,0)-1,0)</f>
        <v>4.9476980285337397</v>
      </c>
      <c r="E22" s="36">
        <f ca="1">5.20208469192821*OFFSET(E$112,MATCH($N$1,$C$112:$C$113,0)-1,0)</f>
        <v>5.20208469192821</v>
      </c>
      <c r="F22" s="36">
        <f ca="1">5.01492527704527*OFFSET(F$112,MATCH($N$1,$C$112:$C$113,0)-1,0)</f>
        <v>5.0149252770452701</v>
      </c>
      <c r="G22" s="36">
        <f ca="1">4.54833616451843*OFFSET(G$112,MATCH($N$1,$C$112:$C$113,0)-1,0)</f>
        <v>4.5483361645184299</v>
      </c>
      <c r="H22" s="36">
        <f ca="1">3.62575143430583*OFFSET(H$112,MATCH($N$1,$C$112:$C$113,0)-1,0)</f>
        <v>3.6257514343058301</v>
      </c>
      <c r="I22" s="36">
        <f ca="1">3.44893752192012*OFFSET(I$112,MATCH($N$1,$C$112:$C$113,0)-1,0)</f>
        <v>3.4489375219201199</v>
      </c>
      <c r="J22" s="36">
        <f ca="1">4.30764407532872*OFFSET(J$112,MATCH($N$1,$C$112:$C$113,0)-1,0)</f>
        <v>4.30764407532872</v>
      </c>
      <c r="K22" s="36">
        <f ca="1">5.57218428337015*OFFSET(K$112,MATCH($N$1,$C$112:$C$113,0)-1,0)</f>
        <v>5.5721842833701496</v>
      </c>
      <c r="L22" s="36">
        <f ca="1">5.55240784396145*OFFSET(L$112,MATCH($N$1,$C$112:$C$113,0)-1,0)</f>
        <v>5.5524078439614497</v>
      </c>
      <c r="M22" s="36">
        <f ca="1">5.21813317485759*OFFSET(M$112,MATCH($N$1,$C$112:$C$113,0)-1,0)</f>
        <v>5.2181331748575897</v>
      </c>
      <c r="N22" s="36">
        <v>5.0585699322581883</v>
      </c>
      <c r="O22" s="28">
        <f t="shared" ca="1" si="0"/>
        <v>2.2408785476607931E-2</v>
      </c>
      <c r="P22" s="28">
        <f t="shared" ca="1" si="1"/>
        <v>0.17432402580107886</v>
      </c>
    </row>
    <row r="23" spans="1:16" ht="18" customHeight="1">
      <c r="A23" s="176"/>
      <c r="B23" s="35" t="s">
        <v>154</v>
      </c>
      <c r="C23" s="36"/>
      <c r="D23" s="36">
        <f ca="1">4.56675176182281*OFFSET(D$112,MATCH($N$1,$C$112:$C$113,0)-1,0)</f>
        <v>4.5667517618228102</v>
      </c>
      <c r="E23" s="36">
        <f ca="1">4.35314850085657*OFFSET(E$112,MATCH($N$1,$C$112:$C$113,0)-1,0)</f>
        <v>4.3531485008565696</v>
      </c>
      <c r="F23" s="36">
        <f ca="1">4.96278027287324*OFFSET(F$112,MATCH($N$1,$C$112:$C$113,0)-1,0)</f>
        <v>4.96278027287324</v>
      </c>
      <c r="G23" s="36">
        <f ca="1">5.16608384265775*OFFSET(G$112,MATCH($N$1,$C$112:$C$113,0)-1,0)</f>
        <v>5.1660838426577502</v>
      </c>
      <c r="H23" s="36">
        <f ca="1">4.00088694886597*OFFSET(H$112,MATCH($N$1,$C$112:$C$113,0)-1,0)</f>
        <v>4.0008869488659702</v>
      </c>
      <c r="I23" s="36">
        <f ca="1">4.21030446666054*OFFSET(I$112,MATCH($N$1,$C$112:$C$113,0)-1,0)</f>
        <v>4.2103044666605403</v>
      </c>
      <c r="J23" s="36">
        <f ca="1">4.28861883663175*OFFSET(J$112,MATCH($N$1,$C$112:$C$113,0)-1,0)</f>
        <v>4.2886188366317501</v>
      </c>
      <c r="K23" s="36">
        <f ca="1">4.85839444699075*OFFSET(K$112,MATCH($N$1,$C$112:$C$113,0)-1,0)</f>
        <v>4.8583944469907498</v>
      </c>
      <c r="L23" s="36">
        <f ca="1">5.5809950822608*OFFSET(L$112,MATCH($N$1,$C$112:$C$113,0)-1,0)</f>
        <v>5.5809950822607997</v>
      </c>
      <c r="M23" s="36">
        <f ca="1">6.59755896170403*OFFSET(M$112,MATCH($N$1,$C$112:$C$113,0)-1,0)</f>
        <v>6.5975589617040296</v>
      </c>
      <c r="N23" s="36">
        <v>7.3344866216745315</v>
      </c>
      <c r="O23" s="28">
        <f t="shared" ca="1" si="0"/>
        <v>0.60606203362956279</v>
      </c>
      <c r="P23" s="28">
        <f t="shared" ca="1" si="1"/>
        <v>0.71022114603101072</v>
      </c>
    </row>
    <row r="24" spans="1:16" ht="18" customHeight="1">
      <c r="A24" s="176"/>
      <c r="B24" s="35" t="s">
        <v>155</v>
      </c>
      <c r="C24" s="36"/>
      <c r="D24" s="36">
        <f ca="1">0.388955718267905*OFFSET(D$112,MATCH($N$1,$C$112:$C$113,0)-1,0)</f>
        <v>0.38895571826790498</v>
      </c>
      <c r="E24" s="36">
        <f ca="1">0.969065277300122*OFFSET(E$112,MATCH($N$1,$C$112:$C$113,0)-1,0)</f>
        <v>0.96906527730012204</v>
      </c>
      <c r="F24" s="36">
        <f ca="1">1.10333956513218*OFFSET(F$112,MATCH($N$1,$C$112:$C$113,0)-1,0)</f>
        <v>1.10333956513218</v>
      </c>
      <c r="G24" s="36">
        <f ca="1">0.0364660266454963*OFFSET(G$112,MATCH($N$1,$C$112:$C$113,0)-1,0)</f>
        <v>3.6466026645496301E-2</v>
      </c>
      <c r="H24" s="36">
        <f ca="1">0.729206894489733*OFFSET(H$112,MATCH($N$1,$C$112:$C$113,0)-1,0)</f>
        <v>0.72920689448973297</v>
      </c>
      <c r="I24" s="36">
        <f ca="1">-0.541264522205506*OFFSET(I$112,MATCH($N$1,$C$112:$C$113,0)-1,0)</f>
        <v>-0.54126452220550603</v>
      </c>
      <c r="J24" s="36">
        <f ca="1">0.78883964306553*OFFSET(J$112,MATCH($N$1,$C$112:$C$113,0)-1,0)</f>
        <v>0.78883964306553001</v>
      </c>
      <c r="K24" s="36">
        <f ca="1">1.8789623537625*OFFSET(K$112,MATCH($N$1,$C$112:$C$113,0)-1,0)</f>
        <v>1.8789623537625</v>
      </c>
      <c r="L24" s="36">
        <f ca="1">0.307118696215407*OFFSET(L$112,MATCH($N$1,$C$112:$C$113,0)-1,0)</f>
        <v>0.30711869621540699</v>
      </c>
      <c r="M24" s="36">
        <f ca="1">-0.113498679798356*OFFSET(M$112,MATCH($N$1,$C$112:$C$113,0)-1,0)</f>
        <v>-0.113498679798356</v>
      </c>
      <c r="N24" s="36">
        <v>-0.30949714043237769</v>
      </c>
      <c r="O24" s="28">
        <f t="shared" ca="1" si="0"/>
        <v>-1.7957130488031603</v>
      </c>
      <c r="P24" s="28">
        <f t="shared" ca="1" si="1"/>
        <v>-1.3923448107014917</v>
      </c>
    </row>
    <row r="25" spans="1:16" ht="18" customHeight="1">
      <c r="A25" s="176"/>
      <c r="B25" s="35" t="s">
        <v>200</v>
      </c>
      <c r="C25" s="31"/>
      <c r="D25" s="31">
        <f ca="1">24.49*OFFSET(D$112,MATCH($N$1,$C$112:$C$113,0)-1,0)</f>
        <v>24.49</v>
      </c>
      <c r="E25" s="31">
        <f ca="1">23.99*OFFSET(E$112,MATCH($N$1,$C$112:$C$113,0)-1,0)</f>
        <v>23.99</v>
      </c>
      <c r="F25" s="31">
        <f ca="1">39.29*OFFSET(F$112,MATCH($N$1,$C$112:$C$113,0)-1,0)</f>
        <v>39.29</v>
      </c>
      <c r="G25" s="31">
        <f ca="1">32.02*OFFSET(G$112,MATCH($N$1,$C$112:$C$113,0)-1,0)</f>
        <v>32.020000000000003</v>
      </c>
      <c r="H25" s="31">
        <f ca="1">30.02*OFFSET(H$112,MATCH($N$1,$C$112:$C$113,0)-1,0)</f>
        <v>30.02</v>
      </c>
      <c r="I25" s="31">
        <f ca="1">30.27*OFFSET(I$112,MATCH($N$1,$C$112:$C$113,0)-1,0)</f>
        <v>30.27</v>
      </c>
      <c r="J25" s="31">
        <f ca="1">34.52*OFFSET(J$112,MATCH($N$1,$C$112:$C$113,0)-1,0)</f>
        <v>34.520000000000003</v>
      </c>
      <c r="K25" s="31">
        <f ca="1">43.21*OFFSET(K$112,MATCH($N$1,$C$112:$C$113,0)-1,0)</f>
        <v>43.21</v>
      </c>
      <c r="L25" s="31">
        <f ca="1">44.31*OFFSET(L$112,MATCH($N$1,$C$112:$C$113,0)-1,0)</f>
        <v>44.31</v>
      </c>
      <c r="M25" s="31">
        <f ca="1">57.28*OFFSET(M$112,MATCH($N$1,$C$112:$C$113,0)-1,0)</f>
        <v>57.28</v>
      </c>
      <c r="N25" s="31">
        <v>55.1</v>
      </c>
      <c r="O25" s="28">
        <f t="shared" ca="1" si="0"/>
        <v>1.2498979175173541</v>
      </c>
      <c r="P25" s="28">
        <f t="shared" ca="1" si="1"/>
        <v>0.59617612977983769</v>
      </c>
    </row>
    <row r="26" spans="1:16" ht="18" customHeight="1">
      <c r="A26" s="177"/>
      <c r="B26" s="35" t="s">
        <v>201</v>
      </c>
      <c r="C26" s="31"/>
      <c r="D26" s="31">
        <f ca="1">1.88*OFFSET(D$112,MATCH($N$1,$C$112:$C$113,0)-1,0)</f>
        <v>1.88</v>
      </c>
      <c r="E26" s="31">
        <f ca="1">4.57*OFFSET(E$112,MATCH($N$1,$C$112:$C$113,0)-1,0)</f>
        <v>4.57</v>
      </c>
      <c r="F26" s="31">
        <f ca="1">8.84*OFFSET(F$112,MATCH($N$1,$C$112:$C$113,0)-1,0)</f>
        <v>8.84</v>
      </c>
      <c r="G26" s="31"/>
      <c r="H26" s="31">
        <f ca="1">5.84*OFFSET(H$112,MATCH($N$1,$C$112:$C$113,0)-1,0)</f>
        <v>5.84</v>
      </c>
      <c r="I26" s="31">
        <f ca="1">-4.91*OFFSET(I$112,MATCH($N$1,$C$112:$C$113,0)-1,0)</f>
        <v>-4.91</v>
      </c>
      <c r="J26" s="31">
        <f ca="1">6.36*OFFSET(J$112,MATCH($N$1,$C$112:$C$113,0)-1,0)</f>
        <v>6.36</v>
      </c>
      <c r="K26" s="31">
        <f ca="1">14.4*OFFSET(K$112,MATCH($N$1,$C$112:$C$113,0)-1,0)</f>
        <v>14.4</v>
      </c>
      <c r="L26" s="31">
        <f ca="1">2.39*OFFSET(L$112,MATCH($N$1,$C$112:$C$113,0)-1,0)</f>
        <v>2.39</v>
      </c>
      <c r="M26" s="31">
        <f ca="1">-1.64*OFFSET(M$112,MATCH($N$1,$C$112:$C$113,0)-1,0)</f>
        <v>-1.64</v>
      </c>
      <c r="N26" s="31">
        <v>-3.24</v>
      </c>
      <c r="O26" s="32">
        <f t="shared" ca="1" si="0"/>
        <v>-2.7234042553191493</v>
      </c>
      <c r="P26" s="32">
        <f t="shared" ca="1" si="1"/>
        <v>-1.5094339622641511</v>
      </c>
    </row>
    <row r="27" spans="1:16" ht="18" customHeight="1">
      <c r="A27" s="166" t="s">
        <v>202</v>
      </c>
      <c r="B27" s="33" t="s">
        <v>193</v>
      </c>
      <c r="C27" s="34"/>
      <c r="D27" s="34">
        <f ca="1">3.9*OFFSET(D$112,MATCH($N$1,$C$112:$C$113,0)-1,0)</f>
        <v>3.9</v>
      </c>
      <c r="E27" s="34">
        <f ca="1">4.2*OFFSET(E$112,MATCH($N$1,$C$112:$C$113,0)-1,0)</f>
        <v>4.2</v>
      </c>
      <c r="F27" s="34">
        <f ca="1">4*OFFSET(F$112,MATCH($N$1,$C$112:$C$113,0)-1,0)</f>
        <v>4</v>
      </c>
      <c r="G27" s="34">
        <f ca="1">4*OFFSET(G$112,MATCH($N$1,$C$112:$C$113,0)-1,0)</f>
        <v>4</v>
      </c>
      <c r="H27" s="34">
        <f ca="1">3.6*OFFSET(H$112,MATCH($N$1,$C$112:$C$113,0)-1,0)</f>
        <v>3.6</v>
      </c>
      <c r="I27" s="34">
        <f ca="1">3.7*OFFSET(I$112,MATCH($N$1,$C$112:$C$113,0)-1,0)</f>
        <v>3.7</v>
      </c>
      <c r="J27" s="34">
        <f ca="1">3.8*OFFSET(J$112,MATCH($N$1,$C$112:$C$113,0)-1,0)</f>
        <v>3.8</v>
      </c>
      <c r="K27" s="34">
        <f ca="1">3.6*OFFSET(K$112,MATCH($N$1,$C$112:$C$113,0)-1,0)</f>
        <v>3.6</v>
      </c>
      <c r="L27" s="34">
        <f ca="1">3.7*OFFSET(L$112,MATCH($N$1,$C$112:$C$113,0)-1,0)</f>
        <v>3.7</v>
      </c>
      <c r="M27" s="34">
        <f ca="1">3.5*OFFSET(M$112,MATCH($N$1,$C$112:$C$113,0)-1,0)</f>
        <v>3.5</v>
      </c>
      <c r="N27" s="34">
        <v>3.4</v>
      </c>
      <c r="O27" s="28">
        <f t="shared" ca="1" si="0"/>
        <v>-0.12820512820512822</v>
      </c>
      <c r="P27" s="28">
        <f t="shared" ca="1" si="1"/>
        <v>-0.10526315789473682</v>
      </c>
    </row>
    <row r="28" spans="1:16" ht="18" customHeight="1">
      <c r="A28" s="178"/>
      <c r="B28" s="35" t="s">
        <v>203</v>
      </c>
      <c r="C28" s="31"/>
      <c r="D28" s="31"/>
      <c r="E28" s="31">
        <f ca="1">0.1*OFFSET(E$112,MATCH($N$1,$C$112:$C$113,0)-1,0)</f>
        <v>0.1</v>
      </c>
      <c r="F28" s="31">
        <f ca="1">0.8*OFFSET(F$112,MATCH($N$1,$C$112:$C$113,0)-1,0)</f>
        <v>0.8</v>
      </c>
      <c r="G28" s="31">
        <f ca="1">0.6*OFFSET(G$112,MATCH($N$1,$C$112:$C$113,0)-1,0)</f>
        <v>0.6</v>
      </c>
      <c r="H28" s="31">
        <f ca="1">1.1*OFFSET(H$112,MATCH($N$1,$C$112:$C$113,0)-1,0)</f>
        <v>1.1000000000000001</v>
      </c>
      <c r="I28" s="31">
        <f ca="1">0.2*OFFSET(I$112,MATCH($N$1,$C$112:$C$113,0)-1,0)</f>
        <v>0.2</v>
      </c>
      <c r="J28" s="31">
        <f ca="1">0.7*OFFSET(J$112,MATCH($N$1,$C$112:$C$113,0)-1,0)</f>
        <v>0.7</v>
      </c>
      <c r="K28" s="31">
        <f ca="1">0.8*OFFSET(K$112,MATCH($N$1,$C$112:$C$113,0)-1,0)</f>
        <v>0.8</v>
      </c>
      <c r="L28" s="31">
        <f ca="1">0.2*OFFSET(L$112,MATCH($N$1,$C$112:$C$113,0)-1,0)</f>
        <v>0.2</v>
      </c>
      <c r="M28" s="31">
        <f ca="1">0.8*OFFSET(M$112,MATCH($N$1,$C$112:$C$113,0)-1,0)</f>
        <v>0.8</v>
      </c>
      <c r="N28" s="31">
        <v>1.3</v>
      </c>
      <c r="O28" s="28" t="str">
        <f t="shared" si="0"/>
        <v/>
      </c>
      <c r="P28" s="28">
        <f t="shared" ca="1" si="1"/>
        <v>0.85714285714285732</v>
      </c>
    </row>
    <row r="29" spans="1:16" ht="18" customHeight="1">
      <c r="A29" s="178"/>
      <c r="B29" s="40" t="s">
        <v>204</v>
      </c>
      <c r="C29" s="41"/>
      <c r="D29" s="41">
        <f ca="1">4*OFFSET(D$112,MATCH($N$1,$C$112:$C$113,0)-1,0)</f>
        <v>4</v>
      </c>
      <c r="E29" s="41">
        <f ca="1">4.2*OFFSET(E$112,MATCH($N$1,$C$112:$C$113,0)-1,0)</f>
        <v>4.2</v>
      </c>
      <c r="F29" s="41">
        <f ca="1">4.8*OFFSET(F$112,MATCH($N$1,$C$112:$C$113,0)-1,0)</f>
        <v>4.8</v>
      </c>
      <c r="G29" s="41">
        <f ca="1">4.6*OFFSET(G$112,MATCH($N$1,$C$112:$C$113,0)-1,0)</f>
        <v>4.5999999999999996</v>
      </c>
      <c r="H29" s="41">
        <f ca="1">4.7*OFFSET(H$112,MATCH($N$1,$C$112:$C$113,0)-1,0)</f>
        <v>4.7</v>
      </c>
      <c r="I29" s="41">
        <f ca="1">3.9*OFFSET(I$112,MATCH($N$1,$C$112:$C$113,0)-1,0)</f>
        <v>3.9</v>
      </c>
      <c r="J29" s="41">
        <f ca="1">4.5*OFFSET(J$112,MATCH($N$1,$C$112:$C$113,0)-1,0)</f>
        <v>4.5</v>
      </c>
      <c r="K29" s="41">
        <f ca="1">4.4*OFFSET(K$112,MATCH($N$1,$C$112:$C$113,0)-1,0)</f>
        <v>4.4000000000000004</v>
      </c>
      <c r="L29" s="41">
        <f ca="1">3.9*OFFSET(L$112,MATCH($N$1,$C$112:$C$113,0)-1,0)</f>
        <v>3.9</v>
      </c>
      <c r="M29" s="41">
        <f ca="1">4.3*OFFSET(M$112,MATCH($N$1,$C$112:$C$113,0)-1,0)</f>
        <v>4.3</v>
      </c>
      <c r="N29" s="41">
        <v>4.7</v>
      </c>
      <c r="O29" s="28">
        <f t="shared" ca="1" si="0"/>
        <v>0.17500000000000004</v>
      </c>
      <c r="P29" s="28">
        <f t="shared" ca="1" si="1"/>
        <v>4.4444444444444481E-2</v>
      </c>
    </row>
    <row r="30" spans="1:16" ht="18" customHeight="1">
      <c r="A30" s="178"/>
      <c r="B30" s="35" t="s">
        <v>205</v>
      </c>
      <c r="C30" s="31"/>
      <c r="D30" s="31">
        <f ca="1">0.7*OFFSET(D$112,MATCH($N$1,$C$112:$C$113,0)-1,0)</f>
        <v>0.7</v>
      </c>
      <c r="E30" s="31">
        <f ca="1">0.9*OFFSET(E$112,MATCH($N$1,$C$112:$C$113,0)-1,0)</f>
        <v>0.9</v>
      </c>
      <c r="F30" s="31">
        <f ca="1">0.9*OFFSET(F$112,MATCH($N$1,$C$112:$C$113,0)-1,0)</f>
        <v>0.9</v>
      </c>
      <c r="G30" s="31">
        <f ca="1">0.9*OFFSET(G$112,MATCH($N$1,$C$112:$C$113,0)-1,0)</f>
        <v>0.9</v>
      </c>
      <c r="H30" s="31">
        <f ca="1">0.9*OFFSET(H$112,MATCH($N$1,$C$112:$C$113,0)-1,0)</f>
        <v>0.9</v>
      </c>
      <c r="I30" s="31">
        <f ca="1">0.7*OFFSET(I$112,MATCH($N$1,$C$112:$C$113,0)-1,0)</f>
        <v>0.7</v>
      </c>
      <c r="J30" s="31">
        <f ca="1">0.5*OFFSET(J$112,MATCH($N$1,$C$112:$C$113,0)-1,0)</f>
        <v>0.5</v>
      </c>
      <c r="K30" s="31">
        <f ca="1">0.5*OFFSET(K$112,MATCH($N$1,$C$112:$C$113,0)-1,0)</f>
        <v>0.5</v>
      </c>
      <c r="L30" s="31">
        <f ca="1">0.6*OFFSET(L$112,MATCH($N$1,$C$112:$C$113,0)-1,0)</f>
        <v>0.6</v>
      </c>
      <c r="M30" s="31">
        <f ca="1">0.6*OFFSET(M$112,MATCH($N$1,$C$112:$C$113,0)-1,0)</f>
        <v>0.6</v>
      </c>
      <c r="N30" s="31">
        <v>0.4</v>
      </c>
      <c r="O30" s="28">
        <f t="shared" ca="1" si="0"/>
        <v>-0.42857142857142849</v>
      </c>
      <c r="P30" s="28">
        <f t="shared" ca="1" si="1"/>
        <v>-0.19999999999999996</v>
      </c>
    </row>
    <row r="31" spans="1:16" ht="18" customHeight="1">
      <c r="A31" s="178"/>
      <c r="B31" s="35" t="s">
        <v>206</v>
      </c>
      <c r="C31" s="31"/>
      <c r="D31" s="31">
        <f ca="1">0.9*OFFSET(D$112,MATCH($N$1,$C$112:$C$113,0)-1,0)</f>
        <v>0.9</v>
      </c>
      <c r="E31" s="31">
        <f ca="1">0.6*OFFSET(E$112,MATCH($N$1,$C$112:$C$113,0)-1,0)</f>
        <v>0.6</v>
      </c>
      <c r="F31" s="31">
        <f ca="1">1.1*OFFSET(F$112,MATCH($N$1,$C$112:$C$113,0)-1,0)</f>
        <v>1.1000000000000001</v>
      </c>
      <c r="G31" s="31">
        <f ca="1">1.2*OFFSET(G$112,MATCH($N$1,$C$112:$C$113,0)-1,0)</f>
        <v>1.2</v>
      </c>
      <c r="H31" s="31">
        <f ca="1">0.8*OFFSET(H$112,MATCH($N$1,$C$112:$C$113,0)-1,0)</f>
        <v>0.8</v>
      </c>
      <c r="I31" s="31">
        <f ca="1">1.4*OFFSET(I$112,MATCH($N$1,$C$112:$C$113,0)-1,0)</f>
        <v>1.4</v>
      </c>
      <c r="J31" s="31">
        <f ca="1">1.3*OFFSET(J$112,MATCH($N$1,$C$112:$C$113,0)-1,0)</f>
        <v>1.3</v>
      </c>
      <c r="K31" s="31">
        <f ca="1">0.6*OFFSET(K$112,MATCH($N$1,$C$112:$C$113,0)-1,0)</f>
        <v>0.6</v>
      </c>
      <c r="L31" s="31">
        <f ca="1">1.1*OFFSET(L$112,MATCH($N$1,$C$112:$C$113,0)-1,0)</f>
        <v>1.1000000000000001</v>
      </c>
      <c r="M31" s="31">
        <f ca="1">1.4*OFFSET(M$112,MATCH($N$1,$C$112:$C$113,0)-1,0)</f>
        <v>1.4</v>
      </c>
      <c r="N31" s="31">
        <v>1.5</v>
      </c>
      <c r="O31" s="28">
        <f t="shared" ca="1" si="0"/>
        <v>0.66666666666666663</v>
      </c>
      <c r="P31" s="28">
        <f t="shared" ca="1" si="1"/>
        <v>0.1538461538461538</v>
      </c>
    </row>
    <row r="32" spans="1:16" ht="18" customHeight="1">
      <c r="A32" s="178"/>
      <c r="B32" s="35" t="s">
        <v>207</v>
      </c>
      <c r="C32" s="31"/>
      <c r="D32" s="31">
        <f ca="1">0.6*OFFSET(D$112,MATCH($N$1,$C$112:$C$113,0)-1,0)</f>
        <v>0.6</v>
      </c>
      <c r="E32" s="31">
        <f ca="1">0.6*OFFSET(E$112,MATCH($N$1,$C$112:$C$113,0)-1,0)</f>
        <v>0.6</v>
      </c>
      <c r="F32" s="31">
        <f ca="1">0.7*OFFSET(F$112,MATCH($N$1,$C$112:$C$113,0)-1,0)</f>
        <v>0.7</v>
      </c>
      <c r="G32" s="31">
        <f ca="1">0.9*OFFSET(G$112,MATCH($N$1,$C$112:$C$113,0)-1,0)</f>
        <v>0.9</v>
      </c>
      <c r="H32" s="31">
        <f ca="1">1*OFFSET(H$112,MATCH($N$1,$C$112:$C$113,0)-1,0)</f>
        <v>1</v>
      </c>
      <c r="I32" s="31">
        <f ca="1">0.9*OFFSET(I$112,MATCH($N$1,$C$112:$C$113,0)-1,0)</f>
        <v>0.9</v>
      </c>
      <c r="J32" s="31">
        <f ca="1">0.8*OFFSET(J$112,MATCH($N$1,$C$112:$C$113,0)-1,0)</f>
        <v>0.8</v>
      </c>
      <c r="K32" s="31">
        <f ca="1">0.9*OFFSET(K$112,MATCH($N$1,$C$112:$C$113,0)-1,0)</f>
        <v>0.9</v>
      </c>
      <c r="L32" s="31">
        <f ca="1">0.8*OFFSET(L$112,MATCH($N$1,$C$112:$C$113,0)-1,0)</f>
        <v>0.8</v>
      </c>
      <c r="M32" s="31">
        <f ca="1">0.9*OFFSET(M$112,MATCH($N$1,$C$112:$C$113,0)-1,0)</f>
        <v>0.9</v>
      </c>
      <c r="N32" s="31">
        <v>0.8</v>
      </c>
      <c r="O32" s="28">
        <f t="shared" ca="1" si="0"/>
        <v>0.33333333333333348</v>
      </c>
      <c r="P32" s="28">
        <f t="shared" ca="1" si="1"/>
        <v>0</v>
      </c>
    </row>
    <row r="33" spans="1:16" ht="18" customHeight="1">
      <c r="A33" s="178"/>
      <c r="B33" s="35" t="s">
        <v>208</v>
      </c>
      <c r="C33" s="31"/>
      <c r="D33" s="31">
        <f ca="1">2.2*OFFSET(D$112,MATCH($N$1,$C$112:$C$113,0)-1,0)</f>
        <v>2.2000000000000002</v>
      </c>
      <c r="E33" s="31">
        <f ca="1">2*OFFSET(E$112,MATCH($N$1,$C$112:$C$113,0)-1,0)</f>
        <v>2</v>
      </c>
      <c r="F33" s="31">
        <f ca="1">2.6*OFFSET(F$112,MATCH($N$1,$C$112:$C$113,0)-1,0)</f>
        <v>2.6</v>
      </c>
      <c r="G33" s="31">
        <f ca="1">3.1*OFFSET(G$112,MATCH($N$1,$C$112:$C$113,0)-1,0)</f>
        <v>3.1</v>
      </c>
      <c r="H33" s="31">
        <f ca="1">2.8*OFFSET(H$112,MATCH($N$1,$C$112:$C$113,0)-1,0)</f>
        <v>2.8</v>
      </c>
      <c r="I33" s="31">
        <f ca="1">3*OFFSET(I$112,MATCH($N$1,$C$112:$C$113,0)-1,0)</f>
        <v>3</v>
      </c>
      <c r="J33" s="31">
        <f ca="1">2.7*OFFSET(J$112,MATCH($N$1,$C$112:$C$113,0)-1,0)</f>
        <v>2.7</v>
      </c>
      <c r="K33" s="31">
        <f ca="1">2*OFFSET(K$112,MATCH($N$1,$C$112:$C$113,0)-1,0)</f>
        <v>2</v>
      </c>
      <c r="L33" s="31">
        <f ca="1">2.5*OFFSET(L$112,MATCH($N$1,$C$112:$C$113,0)-1,0)</f>
        <v>2.5</v>
      </c>
      <c r="M33" s="31">
        <f ca="1">2.8*OFFSET(M$112,MATCH($N$1,$C$112:$C$113,0)-1,0)</f>
        <v>2.8</v>
      </c>
      <c r="N33" s="31">
        <v>2.7</v>
      </c>
      <c r="O33" s="28">
        <f t="shared" ca="1" si="0"/>
        <v>0.22727272727272727</v>
      </c>
      <c r="P33" s="28">
        <f t="shared" ca="1" si="1"/>
        <v>0</v>
      </c>
    </row>
    <row r="34" spans="1:16" ht="18" customHeight="1">
      <c r="A34" s="178"/>
      <c r="B34" s="35" t="s">
        <v>209</v>
      </c>
      <c r="C34" s="31"/>
      <c r="D34" s="31">
        <f ca="1">1.4*OFFSET(D$112,MATCH($N$1,$C$112:$C$113,0)-1,0)</f>
        <v>1.4</v>
      </c>
      <c r="E34" s="31">
        <f ca="1">1.4*OFFSET(E$112,MATCH($N$1,$C$112:$C$113,0)-1,0)</f>
        <v>1.4</v>
      </c>
      <c r="F34" s="31">
        <f ca="1">1.3*OFFSET(F$112,MATCH($N$1,$C$112:$C$113,0)-1,0)</f>
        <v>1.3</v>
      </c>
      <c r="G34" s="31">
        <f ca="1">1.5*OFFSET(G$112,MATCH($N$1,$C$112:$C$113,0)-1,0)</f>
        <v>1.5</v>
      </c>
      <c r="H34" s="31">
        <f ca="1">1.2*OFFSET(H$112,MATCH($N$1,$C$112:$C$113,0)-1,0)</f>
        <v>1.2</v>
      </c>
      <c r="I34" s="31">
        <f ca="1">1.5*OFFSET(I$112,MATCH($N$1,$C$112:$C$113,0)-1,0)</f>
        <v>1.5</v>
      </c>
      <c r="J34" s="31">
        <f ca="1">1.1*OFFSET(J$112,MATCH($N$1,$C$112:$C$113,0)-1,0)</f>
        <v>1.1000000000000001</v>
      </c>
      <c r="K34" s="31">
        <f ca="1">1.1*OFFSET(K$112,MATCH($N$1,$C$112:$C$113,0)-1,0)</f>
        <v>1.1000000000000001</v>
      </c>
      <c r="L34" s="31">
        <f ca="1">1.2*OFFSET(L$112,MATCH($N$1,$C$112:$C$113,0)-1,0)</f>
        <v>1.2</v>
      </c>
      <c r="M34" s="31">
        <f ca="1">1.5*OFFSET(M$112,MATCH($N$1,$C$112:$C$113,0)-1,0)</f>
        <v>1.5</v>
      </c>
      <c r="N34" s="31">
        <v>2.2000000000000002</v>
      </c>
      <c r="O34" s="28">
        <f t="shared" ca="1" si="0"/>
        <v>0.57142857142857162</v>
      </c>
      <c r="P34" s="28">
        <f t="shared" ca="1" si="1"/>
        <v>1</v>
      </c>
    </row>
    <row r="35" spans="1:16" ht="18" customHeight="1">
      <c r="A35" s="178"/>
      <c r="B35" s="35" t="s">
        <v>210</v>
      </c>
      <c r="C35" s="31"/>
      <c r="D35" s="31">
        <f ca="1">3.6*OFFSET(D$112,MATCH($N$1,$C$112:$C$113,0)-1,0)</f>
        <v>3.6</v>
      </c>
      <c r="E35" s="31">
        <f ca="1">3.5*OFFSET(E$112,MATCH($N$1,$C$112:$C$113,0)-1,0)</f>
        <v>3.5</v>
      </c>
      <c r="F35" s="31">
        <f ca="1">4*OFFSET(F$112,MATCH($N$1,$C$112:$C$113,0)-1,0)</f>
        <v>4</v>
      </c>
      <c r="G35" s="31">
        <f ca="1">4.5*OFFSET(G$112,MATCH($N$1,$C$112:$C$113,0)-1,0)</f>
        <v>4.5</v>
      </c>
      <c r="H35" s="31">
        <f ca="1">4*OFFSET(H$112,MATCH($N$1,$C$112:$C$113,0)-1,0)</f>
        <v>4</v>
      </c>
      <c r="I35" s="31">
        <f ca="1">4.5*OFFSET(I$112,MATCH($N$1,$C$112:$C$113,0)-1,0)</f>
        <v>4.5</v>
      </c>
      <c r="J35" s="31">
        <f ca="1">3.8*OFFSET(J$112,MATCH($N$1,$C$112:$C$113,0)-1,0)</f>
        <v>3.8</v>
      </c>
      <c r="K35" s="31">
        <f ca="1">3.2*OFFSET(K$112,MATCH($N$1,$C$112:$C$113,0)-1,0)</f>
        <v>3.2</v>
      </c>
      <c r="L35" s="31">
        <f ca="1">3.7*OFFSET(L$112,MATCH($N$1,$C$112:$C$113,0)-1,0)</f>
        <v>3.7</v>
      </c>
      <c r="M35" s="31">
        <f ca="1">4.4*OFFSET(M$112,MATCH($N$1,$C$112:$C$113,0)-1,0)</f>
        <v>4.4000000000000004</v>
      </c>
      <c r="N35" s="31">
        <v>4.9000000000000004</v>
      </c>
      <c r="O35" s="28">
        <f t="shared" ca="1" si="0"/>
        <v>0.36111111111111116</v>
      </c>
      <c r="P35" s="28">
        <f t="shared" ca="1" si="1"/>
        <v>0.28947368421052649</v>
      </c>
    </row>
    <row r="36" spans="1:16" ht="18" customHeight="1">
      <c r="A36" s="178"/>
      <c r="B36" s="40" t="s">
        <v>211</v>
      </c>
      <c r="C36" s="41"/>
      <c r="D36" s="41">
        <f ca="1">1.2*OFFSET(D$112,MATCH($N$1,$C$112:$C$113,0)-1,0)</f>
        <v>1.2</v>
      </c>
      <c r="E36" s="41">
        <f ca="1">1.4*OFFSET(E$112,MATCH($N$1,$C$112:$C$113,0)-1,0)</f>
        <v>1.4</v>
      </c>
      <c r="F36" s="41">
        <f ca="1">2*OFFSET(F$112,MATCH($N$1,$C$112:$C$113,0)-1,0)</f>
        <v>2</v>
      </c>
      <c r="G36" s="41">
        <f ca="1">1.2*OFFSET(G$112,MATCH($N$1,$C$112:$C$113,0)-1,0)</f>
        <v>1.2</v>
      </c>
      <c r="H36" s="41">
        <f ca="1">1.5*OFFSET(H$112,MATCH($N$1,$C$112:$C$113,0)-1,0)</f>
        <v>1.5</v>
      </c>
      <c r="I36" s="41">
        <f ca="1">0.8*OFFSET(I$112,MATCH($N$1,$C$112:$C$113,0)-1,0)</f>
        <v>0.8</v>
      </c>
      <c r="J36" s="41">
        <f ca="1">2*OFFSET(J$112,MATCH($N$1,$C$112:$C$113,0)-1,0)</f>
        <v>2</v>
      </c>
      <c r="K36" s="41">
        <f ca="1">1.8*OFFSET(K$112,MATCH($N$1,$C$112:$C$113,0)-1,0)</f>
        <v>1.8</v>
      </c>
      <c r="L36" s="41">
        <f ca="1">1.3*OFFSET(L$112,MATCH($N$1,$C$112:$C$113,0)-1,0)</f>
        <v>1.3</v>
      </c>
      <c r="M36" s="41">
        <f ca="1">1.3*OFFSET(M$112,MATCH($N$1,$C$112:$C$113,0)-1,0)</f>
        <v>1.3</v>
      </c>
      <c r="N36" s="41">
        <v>1.3</v>
      </c>
      <c r="O36" s="28">
        <f t="shared" ca="1" si="0"/>
        <v>8.3333333333333412E-2</v>
      </c>
      <c r="P36" s="28">
        <f t="shared" ca="1" si="1"/>
        <v>-0.35</v>
      </c>
    </row>
    <row r="37" spans="1:16" ht="18" customHeight="1">
      <c r="A37" s="178"/>
      <c r="B37" s="40" t="s">
        <v>212</v>
      </c>
      <c r="C37" s="41"/>
      <c r="D37" s="41">
        <f ca="1">0.3*OFFSET(D$112,MATCH($N$1,$C$112:$C$113,0)-1,0)</f>
        <v>0.3</v>
      </c>
      <c r="E37" s="41">
        <f ca="1">0.8*OFFSET(E$112,MATCH($N$1,$C$112:$C$113,0)-1,0)</f>
        <v>0.8</v>
      </c>
      <c r="F37" s="41">
        <f ca="1">0.9*OFFSET(F$112,MATCH($N$1,$C$112:$C$113,0)-1,0)</f>
        <v>0.9</v>
      </c>
      <c r="G37" s="41"/>
      <c r="H37" s="41">
        <f ca="1">0.7*OFFSET(H$112,MATCH($N$1,$C$112:$C$113,0)-1,0)</f>
        <v>0.7</v>
      </c>
      <c r="I37" s="41">
        <f ca="1">-0.6*OFFSET(I$112,MATCH($N$1,$C$112:$C$113,0)-1,0)</f>
        <v>-0.6</v>
      </c>
      <c r="J37" s="41">
        <f ca="1">0.7*OFFSET(J$112,MATCH($N$1,$C$112:$C$113,0)-1,0)</f>
        <v>0.7</v>
      </c>
      <c r="K37" s="41">
        <f ca="1">1.2*OFFSET(K$112,MATCH($N$1,$C$112:$C$113,0)-1,0)</f>
        <v>1.2</v>
      </c>
      <c r="L37" s="41">
        <f ca="1">0.2*OFFSET(L$112,MATCH($N$1,$C$112:$C$113,0)-1,0)</f>
        <v>0.2</v>
      </c>
      <c r="M37" s="41">
        <f ca="1">-0.1*OFFSET(M$112,MATCH($N$1,$C$112:$C$113,0)-1,0)</f>
        <v>-0.1</v>
      </c>
      <c r="N37" s="41">
        <v>-0.2</v>
      </c>
      <c r="O37" s="28">
        <f t="shared" ca="1" si="0"/>
        <v>-1.6666666666666667</v>
      </c>
      <c r="P37" s="28">
        <f t="shared" ca="1" si="1"/>
        <v>-1.2857142857142856</v>
      </c>
    </row>
    <row r="38" spans="1:16" ht="18" customHeight="1">
      <c r="A38" s="178"/>
      <c r="B38" s="35" t="s">
        <v>213</v>
      </c>
      <c r="C38" s="31"/>
      <c r="D38" s="31">
        <f ca="1">0.1*OFFSET(D$112,MATCH($N$1,$C$112:$C$113,0)-1,0)</f>
        <v>0.1</v>
      </c>
      <c r="E38" s="31">
        <f ca="1">0.3*OFFSET(E$112,MATCH($N$1,$C$112:$C$113,0)-1,0)</f>
        <v>0.3</v>
      </c>
      <c r="F38" s="31">
        <f ca="1">1.1*OFFSET(F$112,MATCH($N$1,$C$112:$C$113,0)-1,0)</f>
        <v>1.1000000000000001</v>
      </c>
      <c r="G38" s="31">
        <f ca="1">0.3*OFFSET(G$112,MATCH($N$1,$C$112:$C$113,0)-1,0)</f>
        <v>0.3</v>
      </c>
      <c r="H38" s="31">
        <f ca="1">0.3*OFFSET(H$112,MATCH($N$1,$C$112:$C$113,0)-1,0)</f>
        <v>0.3</v>
      </c>
      <c r="I38" s="31">
        <f ca="1">0.5*OFFSET(I$112,MATCH($N$1,$C$112:$C$113,0)-1,0)</f>
        <v>0.5</v>
      </c>
      <c r="J38" s="31">
        <f ca="1">0.3*OFFSET(J$112,MATCH($N$1,$C$112:$C$113,0)-1,0)</f>
        <v>0.3</v>
      </c>
      <c r="K38" s="31">
        <f ca="1">0.5*OFFSET(K$112,MATCH($N$1,$C$112:$C$113,0)-1,0)</f>
        <v>0.5</v>
      </c>
      <c r="L38" s="31">
        <f ca="1">0.3*OFFSET(L$112,MATCH($N$1,$C$112:$C$113,0)-1,0)</f>
        <v>0.3</v>
      </c>
      <c r="M38" s="31">
        <f ca="1">0.3*OFFSET(M$112,MATCH($N$1,$C$112:$C$113,0)-1,0)</f>
        <v>0.3</v>
      </c>
      <c r="N38" s="31"/>
      <c r="O38" s="28" t="str">
        <f t="shared" si="0"/>
        <v/>
      </c>
      <c r="P38" s="28" t="str">
        <f t="shared" si="1"/>
        <v/>
      </c>
    </row>
    <row r="39" spans="1:16" ht="18" customHeight="1">
      <c r="A39" s="178"/>
      <c r="B39" s="35" t="s">
        <v>214</v>
      </c>
      <c r="C39" s="31"/>
      <c r="D39" s="31"/>
      <c r="E39" s="31"/>
      <c r="F39" s="31">
        <f ca="1">0.1*OFFSET(F$112,MATCH($N$1,$C$112:$C$113,0)-1,0)</f>
        <v>0.1</v>
      </c>
      <c r="G39" s="31"/>
      <c r="H39" s="31">
        <f ca="1">0.1*OFFSET(H$112,MATCH($N$1,$C$112:$C$113,0)-1,0)</f>
        <v>0.1</v>
      </c>
      <c r="I39" s="31">
        <f ca="1">0.1*OFFSET(I$112,MATCH($N$1,$C$112:$C$113,0)-1,0)</f>
        <v>0.1</v>
      </c>
      <c r="J39" s="31"/>
      <c r="K39" s="31"/>
      <c r="L39" s="31"/>
      <c r="M39" s="31"/>
      <c r="N39" s="31"/>
      <c r="O39" s="28" t="str">
        <f t="shared" si="0"/>
        <v/>
      </c>
      <c r="P39" s="28" t="str">
        <f t="shared" si="1"/>
        <v/>
      </c>
    </row>
    <row r="40" spans="1:16" ht="18" customHeight="1">
      <c r="A40" s="178"/>
      <c r="B40" s="35" t="s">
        <v>215</v>
      </c>
      <c r="C40" s="31"/>
      <c r="D40" s="31"/>
      <c r="E40" s="31">
        <f ca="1">0.1*OFFSET(E$112,MATCH($N$1,$C$112:$C$113,0)-1,0)</f>
        <v>0.1</v>
      </c>
      <c r="F40" s="31">
        <f ca="1">0.1*OFFSET(F$112,MATCH($N$1,$C$112:$C$113,0)-1,0)</f>
        <v>0.1</v>
      </c>
      <c r="G40" s="31"/>
      <c r="H40" s="31">
        <f ca="1">0.1*OFFSET(H$112,MATCH($N$1,$C$112:$C$113,0)-1,0)</f>
        <v>0.1</v>
      </c>
      <c r="I40" s="31"/>
      <c r="J40" s="31"/>
      <c r="K40" s="31"/>
      <c r="L40" s="31"/>
      <c r="M40" s="31">
        <f ca="1">0.1*OFFSET(M$112,MATCH($N$1,$C$112:$C$113,0)-1,0)</f>
        <v>0.1</v>
      </c>
      <c r="N40" s="31"/>
      <c r="O40" s="28" t="str">
        <f t="shared" si="0"/>
        <v/>
      </c>
      <c r="P40" s="28" t="str">
        <f t="shared" si="1"/>
        <v/>
      </c>
    </row>
    <row r="41" spans="1:16" ht="18" customHeight="1" thickBot="1">
      <c r="A41" s="179"/>
      <c r="B41" s="42" t="s">
        <v>216</v>
      </c>
      <c r="C41" s="43"/>
      <c r="D41" s="43">
        <f ca="1">0.2*OFFSET(D$112,MATCH($N$1,$C$112:$C$113,0)-1,0)</f>
        <v>0.2</v>
      </c>
      <c r="E41" s="43">
        <f ca="1">0.4*OFFSET(E$112,MATCH($N$1,$C$112:$C$113,0)-1,0)</f>
        <v>0.4</v>
      </c>
      <c r="F41" s="43">
        <f ca="1">-0.4*OFFSET(F$112,MATCH($N$1,$C$112:$C$113,0)-1,0)</f>
        <v>-0.4</v>
      </c>
      <c r="G41" s="43">
        <f ca="1">-0.3*OFFSET(G$112,MATCH($N$1,$C$112:$C$113,0)-1,0)</f>
        <v>-0.3</v>
      </c>
      <c r="H41" s="43">
        <f ca="1">0.3*OFFSET(H$112,MATCH($N$1,$C$112:$C$113,0)-1,0)</f>
        <v>0.3</v>
      </c>
      <c r="I41" s="43">
        <f ca="1">-1.1*OFFSET(I$112,MATCH($N$1,$C$112:$C$113,0)-1,0)</f>
        <v>-1.1000000000000001</v>
      </c>
      <c r="J41" s="43">
        <f ca="1">0.3*OFFSET(J$112,MATCH($N$1,$C$112:$C$113,0)-1,0)</f>
        <v>0.3</v>
      </c>
      <c r="K41" s="43">
        <f ca="1">0.7*OFFSET(K$112,MATCH($N$1,$C$112:$C$113,0)-1,0)</f>
        <v>0.7</v>
      </c>
      <c r="L41" s="43">
        <f ca="1">-0.2*OFFSET(L$112,MATCH($N$1,$C$112:$C$113,0)-1,0)</f>
        <v>-0.2</v>
      </c>
      <c r="M41" s="43">
        <f ca="1">-0.5*OFFSET(M$112,MATCH($N$1,$C$112:$C$113,0)-1,0)</f>
        <v>-0.5</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163</v>
      </c>
      <c r="F46" s="90" t="s">
        <v>159</v>
      </c>
      <c r="G46" s="90" t="s">
        <v>159</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Low activity under 10m</v>
      </c>
      <c r="B48" s="202"/>
      <c r="C48" s="92"/>
      <c r="D48" s="92"/>
      <c r="E48" s="92"/>
      <c r="F48" s="92"/>
      <c r="G48" s="92"/>
      <c r="H48" s="202"/>
      <c r="I48" s="202"/>
      <c r="J48" s="202"/>
      <c r="K48" s="92" t="str">
        <f>$B24&amp;CHAR(10)&amp;$A$1</f>
        <v>Operating profit per kW day at sea (£)
Low activity under 10m</v>
      </c>
      <c r="L48" s="202"/>
      <c r="M48" s="202"/>
      <c r="N48" s="202"/>
      <c r="O48" s="202"/>
      <c r="P48" s="202"/>
    </row>
    <row r="49" spans="1:11" s="80" customFormat="1">
      <c r="A49" s="92" t="str">
        <f>$B22&amp;CHAR(10)&amp;$A$1</f>
        <v>Fishing income per kW day at sea (£)
Low activity under 10m</v>
      </c>
      <c r="B49" s="202"/>
      <c r="C49" s="202"/>
      <c r="D49" s="202"/>
      <c r="E49" s="202"/>
      <c r="F49" s="202"/>
      <c r="G49" s="202"/>
      <c r="H49" s="202"/>
      <c r="I49" s="202"/>
      <c r="J49" s="202"/>
      <c r="K49" s="202"/>
    </row>
    <row r="50" spans="1:11" s="80" customFormat="1">
      <c r="A50" s="92" t="str">
        <f>$B20&amp;CHAR(10)&amp;$A$1</f>
        <v>Average price per tonne landed (£)
Low activity under 10m</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Low activity under 10m</v>
      </c>
      <c r="C62" s="202"/>
      <c r="D62" s="202"/>
      <c r="E62" s="202"/>
      <c r="F62" s="92" t="str">
        <f>$B20&amp;CHAR(10)&amp;$A$1</f>
        <v>Average price per tonne landed (£)
Low activity under 10m</v>
      </c>
      <c r="G62" s="202"/>
      <c r="H62" s="202"/>
      <c r="I62" s="202"/>
      <c r="J62" s="202"/>
      <c r="K62" s="92" t="str">
        <f>"Average annual operating profit per vessel (£'000)"&amp;CHAR(10)&amp;$A$1</f>
        <v>Average annual operating profit per vessel (£'000)
Low activity under 10m</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Low activity under 10m</v>
      </c>
      <c r="F76" s="92" t="str">
        <f>"Top 5 landed species by value in "&amp;A77&amp;CHAR(10)&amp;A1</f>
        <v>Top 5 landed species by value in 2019
Low activity under 10m</v>
      </c>
    </row>
    <row r="77" spans="1:11" s="92" customFormat="1">
      <c r="A77" s="92">
        <v>2019</v>
      </c>
      <c r="B77" s="92" t="s">
        <v>380</v>
      </c>
      <c r="C77" s="93">
        <v>0.26033598881504882</v>
      </c>
      <c r="D77" s="94">
        <v>3050596</v>
      </c>
      <c r="G77" s="92" t="s">
        <v>381</v>
      </c>
      <c r="H77" s="93">
        <v>0.32783031884293468</v>
      </c>
      <c r="I77" s="94">
        <v>12153634</v>
      </c>
      <c r="K77" s="92" t="s">
        <v>230</v>
      </c>
    </row>
    <row r="78" spans="1:11" s="92" customFormat="1">
      <c r="B78" s="92" t="s">
        <v>382</v>
      </c>
      <c r="C78" s="93">
        <v>9.3874420381808696E-2</v>
      </c>
      <c r="D78" s="94">
        <v>1692097</v>
      </c>
      <c r="G78" s="92" t="s">
        <v>383</v>
      </c>
      <c r="H78" s="93">
        <v>0.13047167552569447</v>
      </c>
      <c r="I78" s="94">
        <v>553960</v>
      </c>
    </row>
    <row r="79" spans="1:11" s="92" customFormat="1">
      <c r="B79" s="92" t="s">
        <v>384</v>
      </c>
      <c r="C79" s="93">
        <v>7.8496267090279348E-2</v>
      </c>
      <c r="D79" s="94">
        <v>12153634</v>
      </c>
      <c r="G79" s="92" t="s">
        <v>385</v>
      </c>
      <c r="H79" s="93">
        <v>0.11943337151455317</v>
      </c>
      <c r="I79" s="94">
        <v>3050596</v>
      </c>
    </row>
    <row r="80" spans="1:11" s="92" customFormat="1">
      <c r="B80" s="92" t="s">
        <v>386</v>
      </c>
      <c r="C80" s="93">
        <v>7.3885968294321119E-2</v>
      </c>
      <c r="D80" s="94">
        <v>3689192</v>
      </c>
      <c r="G80" s="92" t="s">
        <v>387</v>
      </c>
      <c r="H80" s="93">
        <v>6.6659850057158992E-2</v>
      </c>
      <c r="I80" s="94">
        <v>1692097</v>
      </c>
    </row>
    <row r="81" spans="1:19" s="92" customFormat="1">
      <c r="B81" s="92" t="s">
        <v>388</v>
      </c>
      <c r="C81" s="93">
        <v>5.6381839517749041E-2</v>
      </c>
      <c r="D81" s="94">
        <v>11115023</v>
      </c>
      <c r="G81" s="92" t="s">
        <v>389</v>
      </c>
      <c r="H81" s="93">
        <v>6.0666516690999248E-2</v>
      </c>
      <c r="I81" s="94">
        <v>3689192</v>
      </c>
    </row>
    <row r="82" spans="1:19" s="92" customFormat="1">
      <c r="B82" s="92" t="s">
        <v>390</v>
      </c>
      <c r="C82" s="93">
        <v>0.43702551590079297</v>
      </c>
      <c r="D82" s="94">
        <v>5920853</v>
      </c>
      <c r="G82" s="92" t="s">
        <v>391</v>
      </c>
      <c r="H82" s="93">
        <v>0.29493826736865947</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167</v>
      </c>
      <c r="D92" s="98">
        <v>0.29962618071940528</v>
      </c>
      <c r="E92" s="98">
        <v>0.29335423477899963</v>
      </c>
      <c r="F92" s="98">
        <v>0.29343326881468784</v>
      </c>
      <c r="G92" s="98">
        <v>0.32215767914698457</v>
      </c>
      <c r="H92" s="98">
        <v>0.31564677347995279</v>
      </c>
      <c r="I92" s="98">
        <v>0.32300237406892501</v>
      </c>
      <c r="J92" s="98">
        <v>0.32044162452095221</v>
      </c>
      <c r="K92" s="98">
        <v>0.30351205995581892</v>
      </c>
      <c r="L92" s="98">
        <v>0.32783031884293468</v>
      </c>
      <c r="M92" s="98">
        <v>0.33822133492137685</v>
      </c>
      <c r="O92" s="92">
        <v>12153634</v>
      </c>
    </row>
    <row r="93" spans="1:19" s="92" customFormat="1" hidden="1">
      <c r="B93" s="92">
        <v>2</v>
      </c>
      <c r="C93" s="92" t="s">
        <v>361</v>
      </c>
      <c r="D93" s="98">
        <v>0.11203893159737749</v>
      </c>
      <c r="E93" s="98">
        <v>0.12774673914166076</v>
      </c>
      <c r="F93" s="98">
        <v>0.1330212865917296</v>
      </c>
      <c r="G93" s="98">
        <v>0.14574882516785168</v>
      </c>
      <c r="H93" s="98">
        <v>0.11659362208693586</v>
      </c>
      <c r="I93" s="98">
        <v>0.11974627835451782</v>
      </c>
      <c r="J93" s="98">
        <v>0.13409781009003854</v>
      </c>
      <c r="K93" s="98">
        <v>0.13512982286896116</v>
      </c>
      <c r="L93" s="98">
        <v>0.13047167552569447</v>
      </c>
      <c r="M93" s="98">
        <v>0.1652846840505971</v>
      </c>
      <c r="O93" s="92">
        <v>553960</v>
      </c>
    </row>
    <row r="94" spans="1:19" s="92" customFormat="1" hidden="1">
      <c r="B94" s="92">
        <v>3</v>
      </c>
      <c r="C94" s="92" t="s">
        <v>124</v>
      </c>
      <c r="D94" s="98">
        <v>0.10954177073388029</v>
      </c>
      <c r="E94" s="98">
        <v>9.7310143062375426E-2</v>
      </c>
      <c r="F94" s="98">
        <v>9.0618405339778996E-2</v>
      </c>
      <c r="G94" s="98">
        <v>8.0525130189593175E-2</v>
      </c>
      <c r="H94" s="98">
        <v>0.11712173932620713</v>
      </c>
      <c r="I94" s="98">
        <v>9.9230238912155877E-2</v>
      </c>
      <c r="J94" s="98">
        <v>9.8840598300084612E-2</v>
      </c>
      <c r="K94" s="98">
        <v>0.12223883926264134</v>
      </c>
      <c r="L94" s="98">
        <v>0.11943337151455317</v>
      </c>
      <c r="M94" s="98">
        <v>0.1039353947362008</v>
      </c>
      <c r="O94" s="92">
        <v>3050596</v>
      </c>
    </row>
    <row r="95" spans="1:19" s="92" customFormat="1" hidden="1">
      <c r="B95" s="92">
        <v>4</v>
      </c>
      <c r="C95" s="92" t="s">
        <v>170</v>
      </c>
      <c r="D95" s="98"/>
      <c r="E95" s="98">
        <v>6.3292195628568929E-2</v>
      </c>
      <c r="F95" s="98">
        <v>8.3152634855401447E-2</v>
      </c>
      <c r="G95" s="98">
        <v>6.9446667693875613E-2</v>
      </c>
      <c r="H95" s="98">
        <v>6.8175251827823274E-2</v>
      </c>
      <c r="I95" s="98"/>
      <c r="J95" s="98">
        <v>6.0913956944730507E-2</v>
      </c>
      <c r="K95" s="98">
        <v>6.6829999046513988E-2</v>
      </c>
      <c r="L95" s="98">
        <v>6.6659850057158992E-2</v>
      </c>
      <c r="M95" s="98">
        <v>5.8390936215896194E-2</v>
      </c>
      <c r="O95" s="92">
        <v>1692097</v>
      </c>
    </row>
    <row r="96" spans="1:19" s="92" customFormat="1" hidden="1">
      <c r="B96" s="92">
        <v>5</v>
      </c>
      <c r="C96" s="92" t="s">
        <v>379</v>
      </c>
      <c r="D96" s="98">
        <v>7.7844140472798598E-2</v>
      </c>
      <c r="E96" s="98"/>
      <c r="F96" s="98">
        <v>6.7196007709255934E-2</v>
      </c>
      <c r="G96" s="98">
        <v>6.1977925029117517E-2</v>
      </c>
      <c r="H96" s="98"/>
      <c r="I96" s="98">
        <v>6.4297131228540291E-2</v>
      </c>
      <c r="J96" s="98"/>
      <c r="K96" s="98">
        <v>5.5254502516497869E-2</v>
      </c>
      <c r="L96" s="98">
        <v>6.0666516690999248E-2</v>
      </c>
      <c r="M96" s="98">
        <v>6.4158060840938266E-2</v>
      </c>
      <c r="O96" s="92">
        <v>3689192</v>
      </c>
    </row>
    <row r="97" spans="1:15" s="92" customFormat="1" hidden="1">
      <c r="B97" s="92">
        <v>6</v>
      </c>
      <c r="C97" s="92" t="s">
        <v>171</v>
      </c>
      <c r="D97" s="98">
        <v>6.874402743282533E-2</v>
      </c>
      <c r="E97" s="98">
        <v>6.3859940022927927E-2</v>
      </c>
      <c r="F97" s="98"/>
      <c r="G97" s="98"/>
      <c r="H97" s="98">
        <v>5.9652013408147721E-2</v>
      </c>
      <c r="I97" s="98">
        <v>6.0061046148234445E-2</v>
      </c>
      <c r="J97" s="98">
        <v>5.6541406390713041E-2</v>
      </c>
      <c r="K97" s="98"/>
      <c r="L97" s="98"/>
      <c r="M97" s="98"/>
      <c r="O97" s="92">
        <v>11115023</v>
      </c>
    </row>
    <row r="98" spans="1:15" s="92" customFormat="1" hidden="1">
      <c r="B98" s="92">
        <v>7</v>
      </c>
      <c r="C98" s="92" t="s">
        <v>245</v>
      </c>
      <c r="D98" s="98">
        <v>0.332204949043713</v>
      </c>
      <c r="E98" s="98">
        <v>0.35443674736546732</v>
      </c>
      <c r="F98" s="98">
        <v>0.33257839668914613</v>
      </c>
      <c r="G98" s="98">
        <v>0.32014377277257744</v>
      </c>
      <c r="H98" s="98">
        <v>0.32281059987093325</v>
      </c>
      <c r="I98" s="98">
        <v>0.33366293128762659</v>
      </c>
      <c r="J98" s="98">
        <v>0.32916460375348106</v>
      </c>
      <c r="K98" s="98">
        <v>0.31703477634956673</v>
      </c>
      <c r="L98" s="98">
        <v>0.29493826736865947</v>
      </c>
      <c r="M98" s="98">
        <v>0.2700095892349908</v>
      </c>
      <c r="O98" s="92">
        <v>5920853</v>
      </c>
    </row>
    <row r="99" spans="1:15" s="92" customFormat="1" hidden="1">
      <c r="B99" s="92">
        <v>8</v>
      </c>
      <c r="D99" s="98"/>
      <c r="E99" s="98"/>
      <c r="F99" s="98"/>
      <c r="G99" s="98"/>
      <c r="H99" s="98"/>
      <c r="I99" s="98"/>
      <c r="J99" s="98"/>
      <c r="K99" s="98"/>
      <c r="L99" s="98"/>
      <c r="M99" s="98"/>
      <c r="O99" s="92">
        <v>7434864</v>
      </c>
    </row>
    <row r="100" spans="1:15" s="92" customFormat="1" hidden="1">
      <c r="B100" s="92">
        <v>9</v>
      </c>
      <c r="D100" s="98"/>
      <c r="E100" s="98"/>
      <c r="F100" s="98"/>
      <c r="G100" s="98"/>
      <c r="H100" s="98"/>
      <c r="I100" s="98"/>
      <c r="J100" s="98"/>
      <c r="K100" s="98"/>
      <c r="L100" s="98"/>
      <c r="M100" s="98"/>
      <c r="O100" s="92">
        <v>8497745</v>
      </c>
    </row>
    <row r="101" spans="1:15" s="92" customFormat="1" hidden="1">
      <c r="B101" s="92">
        <v>10</v>
      </c>
      <c r="D101" s="98"/>
      <c r="E101" s="98"/>
      <c r="F101" s="98"/>
      <c r="G101" s="98"/>
      <c r="H101" s="98"/>
      <c r="I101" s="98"/>
      <c r="J101" s="98"/>
      <c r="K101" s="98"/>
      <c r="L101" s="98"/>
      <c r="M101" s="98"/>
      <c r="O101" s="92">
        <v>14393110</v>
      </c>
    </row>
    <row r="102" spans="1:15" s="92" customFormat="1" hidden="1">
      <c r="B102" s="92">
        <v>11</v>
      </c>
      <c r="D102" s="98"/>
      <c r="E102" s="98"/>
      <c r="F102" s="98"/>
      <c r="G102" s="98"/>
      <c r="H102" s="98"/>
      <c r="I102" s="98"/>
      <c r="J102" s="98"/>
      <c r="K102" s="98"/>
      <c r="L102" s="98"/>
      <c r="M102" s="98"/>
      <c r="O102" s="92">
        <v>2887140</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8</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373</v>
      </c>
      <c r="D120" s="54">
        <v>746</v>
      </c>
      <c r="E120" s="54">
        <v>373</v>
      </c>
      <c r="F120" s="55">
        <v>1492</v>
      </c>
    </row>
    <row r="121" spans="1:15" ht="18" customHeight="1">
      <c r="A121" s="173" t="s">
        <v>191</v>
      </c>
      <c r="B121" s="33" t="s">
        <v>192</v>
      </c>
      <c r="C121" s="56">
        <v>6.058659553527832</v>
      </c>
      <c r="D121" s="56">
        <v>6.2821714878082275</v>
      </c>
      <c r="E121" s="56">
        <v>6.8128952980041504</v>
      </c>
      <c r="F121" s="57">
        <v>6.3589744567871094</v>
      </c>
      <c r="G121" s="206"/>
      <c r="H121" s="206"/>
      <c r="I121" s="206"/>
      <c r="J121" s="206"/>
      <c r="K121" s="206"/>
      <c r="L121" s="206"/>
      <c r="M121" s="206"/>
      <c r="N121" s="206"/>
      <c r="O121" s="206"/>
    </row>
    <row r="122" spans="1:15" ht="18" customHeight="1">
      <c r="A122" s="174"/>
      <c r="B122" s="35" t="s">
        <v>184</v>
      </c>
      <c r="C122" s="58">
        <v>27.144771575927734</v>
      </c>
      <c r="D122" s="58">
        <v>35.207307815551758</v>
      </c>
      <c r="E122" s="58">
        <v>50.660167694091797</v>
      </c>
      <c r="F122" s="59">
        <v>36.919998168945313</v>
      </c>
      <c r="G122" s="206"/>
      <c r="H122" s="206"/>
      <c r="I122" s="206"/>
      <c r="J122" s="206"/>
      <c r="K122" s="206"/>
      <c r="L122" s="206"/>
      <c r="M122" s="206"/>
      <c r="N122" s="206"/>
      <c r="O122" s="206"/>
    </row>
    <row r="123" spans="1:15" ht="18" customHeight="1">
      <c r="A123" s="174"/>
      <c r="B123" s="35" t="s">
        <v>185</v>
      </c>
      <c r="C123" s="58">
        <v>1.7717694044113159</v>
      </c>
      <c r="D123" s="58">
        <v>2.1508102416992188</v>
      </c>
      <c r="E123" s="58">
        <v>2.9822285175323486</v>
      </c>
      <c r="F123" s="59">
        <v>2.257235050201416</v>
      </c>
      <c r="G123" s="206"/>
      <c r="H123" s="206"/>
      <c r="I123" s="206"/>
      <c r="J123" s="206"/>
      <c r="K123" s="206"/>
      <c r="L123" s="206"/>
      <c r="M123" s="206"/>
      <c r="N123" s="206"/>
      <c r="O123" s="206"/>
    </row>
    <row r="124" spans="1:15" ht="18" customHeight="1">
      <c r="A124" s="174"/>
      <c r="B124" s="35" t="s">
        <v>186</v>
      </c>
      <c r="C124" s="58">
        <v>26.453641891479492</v>
      </c>
      <c r="D124" s="58">
        <v>31.434084892272949</v>
      </c>
      <c r="E124" s="58">
        <v>41.840785980224609</v>
      </c>
      <c r="F124" s="59">
        <v>32.702400207519531</v>
      </c>
      <c r="G124" s="206"/>
      <c r="H124" s="206"/>
      <c r="I124" s="206"/>
      <c r="J124" s="206"/>
      <c r="K124" s="206"/>
      <c r="L124" s="206"/>
      <c r="M124" s="206"/>
      <c r="N124" s="206"/>
      <c r="O124" s="206"/>
    </row>
    <row r="125" spans="1:15" ht="18" customHeight="1">
      <c r="A125" s="174"/>
      <c r="B125" s="35" t="s">
        <v>187</v>
      </c>
      <c r="C125" s="31">
        <v>1.2317372560501099</v>
      </c>
      <c r="D125" s="31">
        <v>1.1048393249511719</v>
      </c>
      <c r="E125" s="31">
        <v>0.81034290790557861</v>
      </c>
      <c r="F125" s="60">
        <v>1.0629396438598633</v>
      </c>
      <c r="G125" s="206"/>
      <c r="H125" s="206"/>
      <c r="I125" s="206"/>
      <c r="J125" s="206"/>
      <c r="K125" s="206"/>
      <c r="L125" s="206"/>
      <c r="M125" s="206"/>
      <c r="N125" s="206"/>
      <c r="O125" s="206"/>
    </row>
    <row r="126" spans="1:15" ht="18" customHeight="1">
      <c r="A126" s="174"/>
      <c r="B126" s="35" t="s">
        <v>193</v>
      </c>
      <c r="C126" s="31">
        <f ca="1">4.789703125*OFFSET($L$112,MATCH($N$1,$C$112:$C$113,0)-1,0)</f>
        <v>4.789703125</v>
      </c>
      <c r="D126" s="31">
        <f ca="1">3.55224768066406*OFFSET($L$112,MATCH($N$1,$C$112:$C$113,0)-1,0)</f>
        <v>3.5522476806640602</v>
      </c>
      <c r="E126" s="31">
        <f ca="1">1.94543737792969*OFFSET($L$112,MATCH($N$1,$C$112:$C$113,0)-1,0)</f>
        <v>1.9454373779296901</v>
      </c>
      <c r="F126" s="60">
        <f ca="1">3.45990893554688*OFFSET($L$112,MATCH($N$1,$C$112:$C$113,0)-1,0)</f>
        <v>3.4599089355468799</v>
      </c>
      <c r="G126" s="206"/>
      <c r="H126" s="206"/>
      <c r="I126" s="206"/>
      <c r="J126" s="206"/>
      <c r="K126" s="206"/>
      <c r="L126" s="206"/>
      <c r="M126" s="206"/>
      <c r="N126" s="206"/>
      <c r="O126" s="206"/>
    </row>
    <row r="127" spans="1:15" ht="18" customHeight="1">
      <c r="A127" s="174"/>
      <c r="B127" s="35" t="s">
        <v>189</v>
      </c>
      <c r="C127" s="58">
        <v>11.678284645080566</v>
      </c>
      <c r="D127" s="58">
        <v>20.352546691894531</v>
      </c>
      <c r="E127" s="58">
        <v>20.90080451965332</v>
      </c>
      <c r="F127" s="59">
        <v>18.321044921875</v>
      </c>
      <c r="G127" s="206"/>
      <c r="H127" s="206"/>
      <c r="I127" s="206"/>
      <c r="J127" s="206"/>
      <c r="K127" s="206"/>
      <c r="L127" s="206"/>
      <c r="M127" s="206"/>
      <c r="N127" s="206"/>
      <c r="O127" s="206"/>
    </row>
    <row r="128" spans="1:15" ht="18" customHeight="1">
      <c r="A128" s="174"/>
      <c r="B128" s="35" t="s">
        <v>194</v>
      </c>
      <c r="C128" s="58">
        <v>27.479892730712891</v>
      </c>
      <c r="D128" s="58">
        <v>28.694979667663574</v>
      </c>
      <c r="E128" s="58">
        <v>30.12849235534668</v>
      </c>
      <c r="F128" s="59">
        <v>28.735912322998047</v>
      </c>
      <c r="G128" s="206"/>
      <c r="H128" s="206"/>
      <c r="I128" s="206"/>
      <c r="J128" s="206"/>
      <c r="K128" s="206"/>
      <c r="L128" s="206"/>
      <c r="M128" s="206"/>
      <c r="N128" s="206"/>
      <c r="O128" s="206"/>
    </row>
    <row r="129" spans="1:15" ht="18" customHeight="1">
      <c r="A129" s="174"/>
      <c r="B129" s="35" t="s">
        <v>195</v>
      </c>
      <c r="C129" s="61">
        <v>0.10547244548797607</v>
      </c>
      <c r="D129" s="61">
        <v>5.4285065239092552E-2</v>
      </c>
      <c r="E129" s="61">
        <v>3.8770895451307297E-2</v>
      </c>
      <c r="F129" s="62">
        <v>5.8017414063215256E-2</v>
      </c>
      <c r="G129" s="206"/>
      <c r="H129" s="206"/>
      <c r="I129" s="206"/>
      <c r="J129" s="206"/>
      <c r="K129" s="206"/>
      <c r="L129" s="206"/>
      <c r="M129" s="206"/>
      <c r="N129" s="206"/>
      <c r="O129" s="206"/>
    </row>
    <row r="130" spans="1:15" ht="18" customHeight="1">
      <c r="A130" s="175"/>
      <c r="B130" s="37" t="s">
        <v>196</v>
      </c>
      <c r="C130" s="38">
        <f ca="1">3888.57534467979*OFFSET($L$112,MATCH($N$1,$C$112:$C$113,0)-1,0)</f>
        <v>3888.5753446797899</v>
      </c>
      <c r="D130" s="38">
        <f ca="1">3215.17129273169*OFFSET($L$112,MATCH($N$1,$C$112:$C$113,0)-1,0)</f>
        <v>3215.1712927316898</v>
      </c>
      <c r="E130" s="38">
        <f ca="1">2400.75819625285*OFFSET($L$112,MATCH($N$1,$C$112:$C$113,0)-1,0)</f>
        <v>2400.7581962528502</v>
      </c>
      <c r="F130" s="63">
        <f ca="1">3255*OFFSET($L$112,MATCH($N$1,$C$112:$C$113,0)-1,0)</f>
        <v>3255</v>
      </c>
      <c r="G130" s="206"/>
      <c r="H130" s="206"/>
      <c r="I130" s="206"/>
      <c r="J130" s="206"/>
      <c r="K130" s="206"/>
      <c r="L130" s="206"/>
      <c r="M130" s="206"/>
      <c r="N130" s="206"/>
      <c r="O130" s="206"/>
    </row>
    <row r="131" spans="1:15" ht="18" customHeight="1">
      <c r="A131" s="184" t="s">
        <v>197</v>
      </c>
      <c r="B131" s="33" t="s">
        <v>198</v>
      </c>
      <c r="C131" s="64">
        <v>4.1026745336412862</v>
      </c>
      <c r="D131" s="64">
        <v>1.7872008951363345</v>
      </c>
      <c r="E131" s="64">
        <v>0.71452841541885126</v>
      </c>
      <c r="F131" s="65">
        <v>1.6030943940493534</v>
      </c>
      <c r="G131" s="206"/>
      <c r="H131" s="206"/>
      <c r="I131" s="206"/>
      <c r="J131" s="206"/>
      <c r="K131" s="206"/>
      <c r="L131" s="206"/>
      <c r="M131" s="206"/>
      <c r="N131" s="206"/>
      <c r="O131" s="206"/>
    </row>
    <row r="132" spans="1:15" ht="18" customHeight="1">
      <c r="A132" s="185"/>
      <c r="B132" s="35" t="s">
        <v>199</v>
      </c>
      <c r="C132" s="61">
        <f ca="1">15.9535590387632*OFFSET($L$112,MATCH($N$1,$C$112:$C$113,0)-1,0)</f>
        <v>15.953559038763199</v>
      </c>
      <c r="D132" s="61">
        <f ca="1">5.74615701238671*OFFSET($L$112,MATCH($N$1,$C$112:$C$113,0)-1,0)</f>
        <v>5.7461570123867096</v>
      </c>
      <c r="E132" s="61">
        <f ca="1">1.71540994977237*OFFSET($L$112,MATCH($N$1,$C$112:$C$113,0)-1,0)</f>
        <v>1.71540994977237</v>
      </c>
      <c r="F132" s="62">
        <f ca="1">5.21813317485759*OFFSET($L$112,MATCH($N$1,$C$112:$C$113,0)-1,0)</f>
        <v>5.2181331748575897</v>
      </c>
      <c r="G132" s="206"/>
      <c r="H132" s="206"/>
      <c r="I132" s="206"/>
      <c r="J132" s="206"/>
      <c r="K132" s="206"/>
      <c r="L132" s="206"/>
      <c r="M132" s="206"/>
      <c r="N132" s="206"/>
      <c r="O132" s="206"/>
    </row>
    <row r="133" spans="1:15" ht="18" customHeight="1">
      <c r="A133" s="185"/>
      <c r="B133" s="35" t="s">
        <v>154</v>
      </c>
      <c r="C133" s="61">
        <f ca="1">14.4927357729069*OFFSET($L$112,MATCH($N$1,$C$112:$C$113,0)-1,0)</f>
        <v>14.492735772906901</v>
      </c>
      <c r="D133" s="61">
        <f ca="1">5.7968349351973*OFFSET($L$112,MATCH($N$1,$C$112:$C$113,0)-1,0)</f>
        <v>5.7968349351972996</v>
      </c>
      <c r="E133" s="61">
        <f ca="1">2.3123140036321*OFFSET($L$112,MATCH($N$1,$C$112:$C$113,0)-1,0)</f>
        <v>2.3123140036321002</v>
      </c>
      <c r="F133" s="62">
        <f ca="1">5.33163185465594*OFFSET($L$112,MATCH($N$1,$C$112:$C$113,0)-1,0)</f>
        <v>5.3316318546559396</v>
      </c>
      <c r="G133" s="206"/>
      <c r="H133" s="206"/>
      <c r="I133" s="206"/>
      <c r="J133" s="206"/>
      <c r="K133" s="206"/>
      <c r="L133" s="206"/>
      <c r="M133" s="206"/>
      <c r="N133" s="206"/>
      <c r="O133" s="206"/>
    </row>
    <row r="134" spans="1:15" ht="18" customHeight="1">
      <c r="A134" s="186"/>
      <c r="B134" s="37" t="s">
        <v>155</v>
      </c>
      <c r="C134" s="66">
        <f ca="1">1.46082326585631*OFFSET($L$112,MATCH($N$1,$C$112:$C$113,0)-1,0)</f>
        <v>1.4608232658563101</v>
      </c>
      <c r="D134" s="66">
        <f ca="1">-0.0506779228105843*OFFSET($L$112,MATCH($N$1,$C$112:$C$113,0)-1,0)</f>
        <v>-5.0677922810584301E-2</v>
      </c>
      <c r="E134" s="66">
        <f ca="1">-0.596904053859726*OFFSET($L$112,MATCH($N$1,$C$112:$C$113,0)-1,0)</f>
        <v>-0.596904053859726</v>
      </c>
      <c r="F134" s="67">
        <f ca="1">-0.113498679798356*OFFSET($L$112,MATCH($N$1,$C$112:$C$113,0)-1,0)</f>
        <v>-0.113498679798356</v>
      </c>
      <c r="G134" s="206"/>
      <c r="H134" s="206"/>
      <c r="I134" s="206"/>
      <c r="J134" s="206"/>
      <c r="K134" s="206"/>
      <c r="L134" s="206"/>
      <c r="M134" s="206"/>
      <c r="N134" s="206"/>
      <c r="O134" s="206"/>
    </row>
    <row r="135" spans="1:15" ht="18" customHeight="1">
      <c r="A135" s="187" t="s">
        <v>254</v>
      </c>
      <c r="B135" s="35" t="s">
        <v>255</v>
      </c>
      <c r="C135" s="68">
        <f ca="1">0.231569534301758*OFFSET($L$112,MATCH($N$1,$C$112:$C$113,0)-1,0)</f>
        <v>0.231569534301758</v>
      </c>
      <c r="D135" s="68">
        <f ca="1">0.528340057373047*OFFSET($L$112,MATCH($N$1,$C$112:$C$113,0)-1,0)</f>
        <v>0.52834005737304701</v>
      </c>
      <c r="E135" s="68">
        <f ca="1">0.949140869140625*OFFSET($L$112,MATCH($N$1,$C$112:$C$113,0)-1,0)</f>
        <v>0.94914086914062501</v>
      </c>
      <c r="F135" s="69">
        <f ca="1">0.55934765625*OFFSET($L$112,MATCH($N$1,$C$112:$C$113,0)-1,0)</f>
        <v>0.55934765625000005</v>
      </c>
      <c r="G135" s="206"/>
      <c r="H135" s="206"/>
      <c r="I135" s="206"/>
      <c r="J135" s="206"/>
      <c r="K135" s="206"/>
      <c r="L135" s="206"/>
      <c r="M135" s="206"/>
      <c r="N135" s="206"/>
      <c r="O135" s="206"/>
    </row>
    <row r="136" spans="1:15" ht="18" customHeight="1">
      <c r="A136" s="188"/>
      <c r="B136" s="35" t="s">
        <v>256</v>
      </c>
      <c r="C136" s="30">
        <v>436.38073168849223</v>
      </c>
      <c r="D136" s="30">
        <v>997.50668708655928</v>
      </c>
      <c r="E136" s="30">
        <v>1793.8605979440326</v>
      </c>
      <c r="F136" s="70">
        <v>1056.313672922252</v>
      </c>
      <c r="G136" s="206"/>
      <c r="H136" s="206"/>
      <c r="I136" s="206"/>
      <c r="J136" s="206"/>
      <c r="K136" s="206"/>
      <c r="L136" s="206"/>
      <c r="M136" s="206"/>
      <c r="N136" s="206"/>
      <c r="O136" s="206"/>
    </row>
    <row r="137" spans="1:15" ht="18" customHeight="1">
      <c r="A137" s="188"/>
      <c r="B137" s="35" t="s">
        <v>257</v>
      </c>
      <c r="C137" s="30">
        <v>37.366851806640625</v>
      </c>
      <c r="D137" s="30">
        <v>49.011394111372788</v>
      </c>
      <c r="E137" s="30">
        <v>85.827346801757813</v>
      </c>
      <c r="F137" s="70">
        <v>57.655754089355469</v>
      </c>
      <c r="G137" s="206"/>
      <c r="H137" s="206"/>
      <c r="I137" s="206"/>
      <c r="J137" s="206"/>
      <c r="K137" s="206"/>
      <c r="L137" s="206"/>
      <c r="M137" s="206"/>
      <c r="N137" s="206"/>
      <c r="O137" s="206"/>
    </row>
    <row r="138" spans="1:15" ht="18" customHeight="1">
      <c r="A138" s="188"/>
      <c r="B138" s="35" t="s">
        <v>258</v>
      </c>
      <c r="C138" s="30">
        <f ca="1">19.8290709071992*OFFSET($L$112,MATCH($N$1,$C$112:$C$113,0)-1,0)</f>
        <v>19.829070907199199</v>
      </c>
      <c r="D138" s="30">
        <f ca="1">25.9594077031873*OFFSET($L$112,MATCH($N$1,$C$112:$C$113,0)-1,0)</f>
        <v>25.959407703187299</v>
      </c>
      <c r="E138" s="30">
        <f ca="1">45.4116906479908*OFFSET($L$112,MATCH($N$1,$C$112:$C$113,0)-1,0)</f>
        <v>45.411690647990802</v>
      </c>
      <c r="F138" s="70">
        <f ca="1">30.5303359407273*OFFSET($L$112,MATCH($N$1,$C$112:$C$113,0)-1,0)</f>
        <v>30.530335940727301</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188.00237888748*OFFSET($L$112,MATCH($N$1,$C$112:$C$113,0)-1,0)</f>
        <v>188.00237888748001</v>
      </c>
      <c r="D139" s="30">
        <f ca="1">478.205333066323*OFFSET($L$112,MATCH($N$1,$C$112:$C$113,0)-1,0)</f>
        <v>478.20533306632302</v>
      </c>
      <c r="E139" s="30">
        <f ca="1">1171.28299622414*OFFSET($L$112,MATCH($N$1,$C$112:$C$113,0)-1,0)</f>
        <v>1171.2829962241401</v>
      </c>
      <c r="F139" s="70">
        <f ca="1">526.227109395257*OFFSET($L$112,MATCH($N$1,$C$112:$C$113,0)-1,0)</f>
        <v>526.227109395257</v>
      </c>
      <c r="G139" s="206"/>
      <c r="H139" s="206"/>
      <c r="I139" s="46"/>
      <c r="J139" s="206"/>
      <c r="K139" s="71" t="s">
        <v>260</v>
      </c>
      <c r="L139" s="72">
        <f t="shared" ref="L139:M141" ca="1" si="2">C140</f>
        <v>5.9516923828125003</v>
      </c>
      <c r="M139" s="72">
        <f t="shared" ca="1" si="2"/>
        <v>4.4140283203125001</v>
      </c>
      <c r="N139" s="72">
        <f ca="1">E140</f>
        <v>2.41740356445312</v>
      </c>
      <c r="O139" s="72"/>
    </row>
    <row r="140" spans="1:15" ht="18" customHeight="1">
      <c r="A140" s="166" t="s">
        <v>261</v>
      </c>
      <c r="B140" s="33" t="s">
        <v>262</v>
      </c>
      <c r="C140" s="73">
        <f ca="1">5.9516923828125*OFFSET($L$112,MATCH($N$1,$C$112:$C$113,0)-1,0)</f>
        <v>5.9516923828125003</v>
      </c>
      <c r="D140" s="73">
        <f ca="1">4.4140283203125*OFFSET($L$112,MATCH($N$1,$C$112:$C$113,0)-1,0)</f>
        <v>4.4140283203125001</v>
      </c>
      <c r="E140" s="73">
        <f ca="1">2.41740356445312*OFFSET($L$112,MATCH($N$1,$C$112:$C$113,0)-1,0)</f>
        <v>2.41740356445312</v>
      </c>
      <c r="F140" s="74">
        <f ca="1">4.2992880859375*OFFSET($L$112,MATCH($N$1,$C$112:$C$113,0)-1,0)</f>
        <v>4.2992880859374996</v>
      </c>
      <c r="G140" s="206"/>
      <c r="H140" s="206"/>
      <c r="I140" s="46"/>
      <c r="J140" s="206"/>
      <c r="K140" s="71" t="s">
        <v>263</v>
      </c>
      <c r="L140" s="72">
        <f t="shared" ca="1" si="2"/>
        <v>5.5131127929687498</v>
      </c>
      <c r="M140" s="72">
        <f t="shared" ca="1" si="2"/>
        <v>4.4453571777343797</v>
      </c>
      <c r="N140" s="72">
        <f ca="1">E141</f>
        <v>3.0943493652343701</v>
      </c>
      <c r="O140" s="72"/>
    </row>
    <row r="141" spans="1:15" ht="18" customHeight="1">
      <c r="A141" s="167"/>
      <c r="B141" s="35" t="s">
        <v>264</v>
      </c>
      <c r="C141" s="30">
        <f ca="1">5.51311279296875*OFFSET($L$112,MATCH($N$1,$C$112:$C$113,0)-1,0)</f>
        <v>5.5131127929687498</v>
      </c>
      <c r="D141" s="30">
        <f ca="1">4.44535717773438*OFFSET($L$112,MATCH($N$1,$C$112:$C$113,0)-1,0)</f>
        <v>4.4453571777343797</v>
      </c>
      <c r="E141" s="30">
        <f ca="1">3.09434936523437*OFFSET($L$112,MATCH($N$1,$C$112:$C$113,0)-1,0)</f>
        <v>3.0943493652343701</v>
      </c>
      <c r="F141" s="70">
        <f ca="1">4.3745439453125*OFFSET($L$112,MATCH($N$1,$C$112:$C$113,0)-1,0)</f>
        <v>4.3745439453125003</v>
      </c>
      <c r="G141" s="206"/>
      <c r="H141" s="206"/>
      <c r="I141" s="46"/>
      <c r="J141" s="206"/>
      <c r="K141" s="71" t="s">
        <v>265</v>
      </c>
      <c r="L141" s="72">
        <f t="shared" ca="1" si="2"/>
        <v>0.43857958984375001</v>
      </c>
      <c r="M141" s="72">
        <f t="shared" ca="1" si="2"/>
        <v>-3.1328857421875002E-2</v>
      </c>
      <c r="N141" s="72">
        <f ca="1">E142</f>
        <v>-0.67694580078125</v>
      </c>
      <c r="O141" s="72"/>
    </row>
    <row r="142" spans="1:15" ht="18" customHeight="1">
      <c r="A142" s="168"/>
      <c r="B142" s="37" t="s">
        <v>266</v>
      </c>
      <c r="C142" s="38">
        <f ca="1">0.43857958984375*OFFSET($L$112,MATCH($N$1,$C$112:$C$113,0)-1,0)</f>
        <v>0.43857958984375001</v>
      </c>
      <c r="D142" s="38">
        <f ca="1">-0.031328857421875*OFFSET($L$112,MATCH($N$1,$C$112:$C$113,0)-1,0)</f>
        <v>-3.1328857421875002E-2</v>
      </c>
      <c r="E142" s="38">
        <f ca="1">-0.67694580078125*OFFSET($L$112,MATCH($N$1,$C$112:$C$113,0)-1,0)</f>
        <v>-0.67694580078125</v>
      </c>
      <c r="F142" s="63">
        <f ca="1">-0.075255859375*OFFSET($L$112,MATCH($N$1,$C$112:$C$113,0)-1,0)</f>
        <v>-7.5255859374999998E-2</v>
      </c>
      <c r="G142" s="206"/>
      <c r="H142" s="206"/>
      <c r="I142" s="46"/>
      <c r="J142" s="206"/>
      <c r="K142" s="71" t="s">
        <v>267</v>
      </c>
      <c r="L142" s="75">
        <f ca="1">IFERROR(L140/L$139,"")</f>
        <v>0.92631010448216455</v>
      </c>
      <c r="M142" s="75">
        <f t="shared" ref="M142:N143" ca="1" si="3">IFERROR(M140/M$139,"")</f>
        <v>1.0070975660209769</v>
      </c>
      <c r="N142" s="75">
        <f t="shared" ca="1" si="3"/>
        <v>1.280030116086303</v>
      </c>
      <c r="O142" s="75"/>
    </row>
    <row r="143" spans="1:15" ht="18" customHeight="1">
      <c r="A143" s="206"/>
      <c r="B143" s="206"/>
      <c r="C143" s="206"/>
      <c r="D143" s="206"/>
      <c r="E143" s="206"/>
      <c r="F143" s="206"/>
      <c r="G143" s="206"/>
      <c r="H143" s="206"/>
      <c r="I143" s="46"/>
      <c r="J143" s="206"/>
      <c r="K143" s="71" t="s">
        <v>268</v>
      </c>
      <c r="L143" s="75">
        <f ca="1">IFERROR(L141/L$139,"")</f>
        <v>7.3689895517835405E-2</v>
      </c>
      <c r="M143" s="75">
        <f t="shared" ca="1" si="3"/>
        <v>-7.0975660209758266E-3</v>
      </c>
      <c r="N143" s="75">
        <f t="shared" ca="1" si="3"/>
        <v>-0.28003011608630307</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10</v>
      </c>
      <c r="B161" s="51"/>
      <c r="C161" s="76" t="s">
        <v>249</v>
      </c>
      <c r="D161" s="76" t="s">
        <v>270</v>
      </c>
      <c r="E161" s="76" t="s">
        <v>251</v>
      </c>
      <c r="F161" s="76" t="s">
        <v>271</v>
      </c>
      <c r="G161" s="77">
        <v>8</v>
      </c>
      <c r="H161" s="76"/>
      <c r="I161" s="76" t="s">
        <v>249</v>
      </c>
      <c r="J161" s="76" t="s">
        <v>270</v>
      </c>
      <c r="K161" s="76" t="s">
        <v>251</v>
      </c>
      <c r="L161" s="51" t="s">
        <v>271</v>
      </c>
      <c r="R161" s="206"/>
      <c r="S161" s="206"/>
    </row>
    <row r="162" spans="1:19" s="46" customFormat="1">
      <c r="A162" s="47">
        <v>1</v>
      </c>
      <c r="B162" s="51" t="s">
        <v>124</v>
      </c>
      <c r="C162" s="51">
        <v>0.38684457727416205</v>
      </c>
      <c r="D162" s="51">
        <v>0.32384871261724207</v>
      </c>
      <c r="E162" s="51">
        <v>0.13718615296433792</v>
      </c>
      <c r="F162" s="47">
        <v>3050596</v>
      </c>
      <c r="G162" s="47">
        <v>1</v>
      </c>
      <c r="H162" s="51" t="s">
        <v>167</v>
      </c>
      <c r="I162" s="51">
        <v>0.37950396167448136</v>
      </c>
      <c r="J162" s="51">
        <v>0.36812017300093519</v>
      </c>
      <c r="K162" s="51">
        <v>0.27343690136764576</v>
      </c>
      <c r="L162" s="47">
        <v>12153634</v>
      </c>
      <c r="R162" s="206"/>
      <c r="S162" s="206"/>
    </row>
    <row r="163" spans="1:19" s="46" customFormat="1">
      <c r="A163" s="47">
        <v>2</v>
      </c>
      <c r="B163" s="51" t="s">
        <v>170</v>
      </c>
      <c r="C163" s="51">
        <v>9.0200640470747523E-2</v>
      </c>
      <c r="D163" s="51">
        <v>0.12509209351019235</v>
      </c>
      <c r="E163" s="51">
        <v>0.10793894917474449</v>
      </c>
      <c r="F163" s="47">
        <v>1692097</v>
      </c>
      <c r="G163" s="47">
        <v>2</v>
      </c>
      <c r="H163" s="51" t="s">
        <v>361</v>
      </c>
      <c r="I163" s="51">
        <v>0.14014356322839883</v>
      </c>
      <c r="J163" s="51">
        <v>0.14517204857045302</v>
      </c>
      <c r="K163" s="51">
        <v>0.13971956001228919</v>
      </c>
      <c r="L163" s="47">
        <v>553960</v>
      </c>
      <c r="N163" s="46" t="s">
        <v>272</v>
      </c>
      <c r="R163" s="206"/>
      <c r="S163" s="206"/>
    </row>
    <row r="164" spans="1:19" s="46" customFormat="1">
      <c r="A164" s="47">
        <v>3</v>
      </c>
      <c r="B164" s="51" t="s">
        <v>379</v>
      </c>
      <c r="C164" s="51">
        <v>8.4282536527729504E-2</v>
      </c>
      <c r="D164" s="51">
        <v>0.10355392870662121</v>
      </c>
      <c r="E164" s="51">
        <v>0</v>
      </c>
      <c r="F164" s="47">
        <v>3689192</v>
      </c>
      <c r="G164" s="47">
        <v>3</v>
      </c>
      <c r="H164" s="51" t="s">
        <v>124</v>
      </c>
      <c r="I164" s="51">
        <v>0.14443219395439397</v>
      </c>
      <c r="J164" s="51">
        <v>0.13463942893480679</v>
      </c>
      <c r="K164" s="51">
        <v>8.2805866013262688E-2</v>
      </c>
      <c r="L164" s="47">
        <v>3050596</v>
      </c>
      <c r="N164" s="46" t="s">
        <v>273</v>
      </c>
      <c r="R164" s="206"/>
      <c r="S164" s="206"/>
    </row>
    <row r="165" spans="1:19" s="46" customFormat="1">
      <c r="A165" s="47">
        <v>4</v>
      </c>
      <c r="B165" s="51" t="s">
        <v>167</v>
      </c>
      <c r="C165" s="51">
        <v>0.10674171483714499</v>
      </c>
      <c r="D165" s="51">
        <v>0.10023102344572106</v>
      </c>
      <c r="E165" s="51">
        <v>0</v>
      </c>
      <c r="F165" s="47">
        <v>12153634</v>
      </c>
      <c r="G165" s="47">
        <v>4</v>
      </c>
      <c r="H165" s="51" t="s">
        <v>170</v>
      </c>
      <c r="I165" s="51">
        <v>6.116930994429387E-2</v>
      </c>
      <c r="J165" s="51">
        <v>7.6973014253779795E-2</v>
      </c>
      <c r="K165" s="51">
        <v>8.8508717181720056E-2</v>
      </c>
      <c r="L165" s="47">
        <v>1692097</v>
      </c>
      <c r="R165" s="206"/>
      <c r="S165" s="206"/>
    </row>
    <row r="166" spans="1:19" s="46" customFormat="1">
      <c r="A166" s="47">
        <v>5</v>
      </c>
      <c r="B166" s="51" t="s">
        <v>244</v>
      </c>
      <c r="C166" s="51">
        <v>0</v>
      </c>
      <c r="D166" s="51">
        <v>8.5601360748435565E-2</v>
      </c>
      <c r="E166" s="51">
        <v>8.8518445159705486E-2</v>
      </c>
      <c r="F166" s="47">
        <v>11115023</v>
      </c>
      <c r="G166" s="47">
        <v>5</v>
      </c>
      <c r="H166" s="51" t="s">
        <v>379</v>
      </c>
      <c r="I166" s="51">
        <v>5.9603059112962833E-2</v>
      </c>
      <c r="J166" s="51">
        <v>7.5430919294379575E-2</v>
      </c>
      <c r="K166" s="51">
        <v>0</v>
      </c>
      <c r="L166" s="47">
        <v>3689192</v>
      </c>
      <c r="R166" s="206"/>
      <c r="S166" s="206"/>
    </row>
    <row r="167" spans="1:19" s="46" customFormat="1">
      <c r="A167" s="47">
        <v>6</v>
      </c>
      <c r="B167" s="51" t="s">
        <v>160</v>
      </c>
      <c r="C167" s="51">
        <v>0</v>
      </c>
      <c r="D167" s="51">
        <v>0</v>
      </c>
      <c r="E167" s="51">
        <v>8.1728215486733299E-2</v>
      </c>
      <c r="F167" s="47">
        <v>2480382</v>
      </c>
      <c r="G167" s="47">
        <v>6</v>
      </c>
      <c r="H167" s="51" t="s">
        <v>171</v>
      </c>
      <c r="I167" s="51">
        <v>0</v>
      </c>
      <c r="J167" s="51">
        <v>0</v>
      </c>
      <c r="K167" s="51">
        <v>6.0038760133648492E-2</v>
      </c>
      <c r="L167" s="47">
        <v>8497745</v>
      </c>
      <c r="R167" s="206"/>
      <c r="S167" s="206"/>
    </row>
    <row r="168" spans="1:19" s="46" customFormat="1">
      <c r="A168" s="47">
        <v>7</v>
      </c>
      <c r="B168" s="51" t="s">
        <v>168</v>
      </c>
      <c r="C168" s="51">
        <v>0</v>
      </c>
      <c r="D168" s="51">
        <v>0</v>
      </c>
      <c r="E168" s="51">
        <v>6.6498512224936288E-2</v>
      </c>
      <c r="F168" s="47">
        <v>7434864</v>
      </c>
      <c r="G168" s="47">
        <v>7</v>
      </c>
      <c r="H168" s="51" t="s">
        <v>245</v>
      </c>
      <c r="I168" s="51">
        <v>0.21514791208546913</v>
      </c>
      <c r="J168" s="51">
        <v>0.19966441594564566</v>
      </c>
      <c r="K168" s="51">
        <v>0.35549019529143377</v>
      </c>
      <c r="L168" s="47">
        <v>5920853</v>
      </c>
      <c r="R168" s="206"/>
      <c r="S168" s="206"/>
    </row>
    <row r="169" spans="1:19" s="46" customFormat="1">
      <c r="A169" s="47">
        <v>8</v>
      </c>
      <c r="B169" s="51" t="s">
        <v>361</v>
      </c>
      <c r="C169" s="51">
        <v>5.4999151769155805E-2</v>
      </c>
      <c r="D169" s="51">
        <v>0</v>
      </c>
      <c r="E169" s="51">
        <v>0</v>
      </c>
      <c r="F169" s="47">
        <v>553960</v>
      </c>
      <c r="G169" s="47">
        <v>8</v>
      </c>
      <c r="H169" s="51"/>
      <c r="I169" s="51">
        <v>0</v>
      </c>
      <c r="J169" s="51">
        <v>0</v>
      </c>
      <c r="K169" s="51">
        <v>0</v>
      </c>
      <c r="L169" s="47"/>
      <c r="R169" s="206"/>
      <c r="S169" s="206"/>
    </row>
    <row r="170" spans="1:19" s="46" customFormat="1">
      <c r="A170" s="47">
        <v>9</v>
      </c>
      <c r="B170" s="51" t="s">
        <v>245</v>
      </c>
      <c r="C170" s="51">
        <v>0.27693137912106003</v>
      </c>
      <c r="D170" s="51">
        <v>0.26167288097178765</v>
      </c>
      <c r="E170" s="51">
        <v>0.51812972498954246</v>
      </c>
      <c r="F170" s="47">
        <v>5920853</v>
      </c>
      <c r="G170" s="47">
        <v>9</v>
      </c>
      <c r="H170" s="51"/>
      <c r="I170" s="51">
        <v>0</v>
      </c>
      <c r="J170" s="51">
        <v>0</v>
      </c>
      <c r="K170" s="51">
        <v>0</v>
      </c>
      <c r="L170" s="47"/>
      <c r="R170" s="206"/>
      <c r="S170" s="206"/>
    </row>
    <row r="171" spans="1:19" s="46" customFormat="1">
      <c r="A171" s="47">
        <v>10</v>
      </c>
      <c r="B171" s="51"/>
      <c r="C171" s="51">
        <v>0</v>
      </c>
      <c r="D171" s="51">
        <v>0</v>
      </c>
      <c r="E171" s="51">
        <v>0</v>
      </c>
      <c r="F171" s="47"/>
      <c r="G171" s="47">
        <v>10</v>
      </c>
      <c r="H171" s="51"/>
      <c r="I171" s="51">
        <v>0</v>
      </c>
      <c r="J171" s="51">
        <v>0</v>
      </c>
      <c r="K171" s="51">
        <v>0</v>
      </c>
      <c r="L171" s="47"/>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BD8978B2-5CEE-4F45-B56E-8601DCF9CEA9}">
      <formula1>$C$112:$C$113</formula1>
    </dataValidation>
  </dataValidations>
  <hyperlinks>
    <hyperlink ref="O1:P1" location="Home_page" display="Back to home page" xr:uid="{AF8CE729-AFE5-4D9F-8681-DE87BA2CBEF2}"/>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E72782FD-22A9-4597-A46F-F937B944D035}">
          <x14:colorSeries rgb="FF323232"/>
          <x14:colorNegative rgb="FFD00000"/>
          <x14:colorAxis rgb="FF000000"/>
          <x14:colorMarkers rgb="FFD00000"/>
          <x14:colorFirst rgb="FFD00000"/>
          <x14:colorLast rgb="FFD00000"/>
          <x14:colorHigh rgb="FFD00000"/>
          <x14:colorLow rgb="FFD00000"/>
          <x14:sparklines>
            <x14:sparkline>
              <xm:f>'Low activity under 10m'!D3:N3</xm:f>
              <xm:sqref>C3</xm:sqref>
            </x14:sparkline>
            <x14:sparkline>
              <xm:f>'Low activity under 10m'!D4:N4</xm:f>
              <xm:sqref>C4</xm:sqref>
            </x14:sparkline>
            <x14:sparkline>
              <xm:f>'Low activity under 10m'!D5:N5</xm:f>
              <xm:sqref>C5</xm:sqref>
            </x14:sparkline>
            <x14:sparkline>
              <xm:f>'Low activity under 10m'!D6:N6</xm:f>
              <xm:sqref>C6</xm:sqref>
            </x14:sparkline>
            <x14:sparkline>
              <xm:f>'Low activity under 10m'!D7:N7</xm:f>
              <xm:sqref>C7</xm:sqref>
            </x14:sparkline>
            <x14:sparkline>
              <xm:f>'Low activity under 10m'!D8:N8</xm:f>
              <xm:sqref>C8</xm:sqref>
            </x14:sparkline>
            <x14:sparkline>
              <xm:f>'Low activity under 10m'!D9:N9</xm:f>
              <xm:sqref>C9</xm:sqref>
            </x14:sparkline>
            <x14:sparkline>
              <xm:f>'Low activity under 10m'!D10:N10</xm:f>
              <xm:sqref>C10</xm:sqref>
            </x14:sparkline>
            <x14:sparkline>
              <xm:f>'Low activity under 10m'!D11:N11</xm:f>
              <xm:sqref>C11</xm:sqref>
            </x14:sparkline>
            <x14:sparkline>
              <xm:f>'Low activity under 10m'!D12:N12</xm:f>
              <xm:sqref>C12</xm:sqref>
            </x14:sparkline>
            <x14:sparkline>
              <xm:f>'Low activity under 10m'!D13:N13</xm:f>
              <xm:sqref>C13</xm:sqref>
            </x14:sparkline>
            <x14:sparkline>
              <xm:f>'Low activity under 10m'!D14:N14</xm:f>
              <xm:sqref>C14</xm:sqref>
            </x14:sparkline>
            <x14:sparkline>
              <xm:f>'Low activity under 10m'!D15:N15</xm:f>
              <xm:sqref>C15</xm:sqref>
            </x14:sparkline>
            <x14:sparkline>
              <xm:f>'Low activity under 10m'!D16:N16</xm:f>
              <xm:sqref>C16</xm:sqref>
            </x14:sparkline>
            <x14:sparkline>
              <xm:f>'Low activity under 10m'!D17:N17</xm:f>
              <xm:sqref>C17</xm:sqref>
            </x14:sparkline>
            <x14:sparkline>
              <xm:f>'Low activity under 10m'!D18:N18</xm:f>
              <xm:sqref>C18</xm:sqref>
            </x14:sparkline>
            <x14:sparkline>
              <xm:f>'Low activity under 10m'!D19:N19</xm:f>
              <xm:sqref>C19</xm:sqref>
            </x14:sparkline>
            <x14:sparkline>
              <xm:f>'Low activity under 10m'!D20:N20</xm:f>
              <xm:sqref>C20</xm:sqref>
            </x14:sparkline>
            <x14:sparkline>
              <xm:f>'Low activity under 10m'!D21:N21</xm:f>
              <xm:sqref>C21</xm:sqref>
            </x14:sparkline>
            <x14:sparkline>
              <xm:f>'Low activity under 10m'!D22:N22</xm:f>
              <xm:sqref>C22</xm:sqref>
            </x14:sparkline>
            <x14:sparkline>
              <xm:f>'Low activity under 10m'!D23:N23</xm:f>
              <xm:sqref>C23</xm:sqref>
            </x14:sparkline>
            <x14:sparkline>
              <xm:f>'Low activity under 10m'!D24:N24</xm:f>
              <xm:sqref>C24</xm:sqref>
            </x14:sparkline>
            <x14:sparkline>
              <xm:f>'Low activity under 10m'!D25:N25</xm:f>
              <xm:sqref>C25</xm:sqref>
            </x14:sparkline>
            <x14:sparkline>
              <xm:f>'Low activity under 10m'!D26:N26</xm:f>
              <xm:sqref>C26</xm:sqref>
            </x14:sparkline>
            <x14:sparkline>
              <xm:f>'Low activity under 10m'!D27:N27</xm:f>
              <xm:sqref>C27</xm:sqref>
            </x14:sparkline>
            <x14:sparkline>
              <xm:f>'Low activity under 10m'!D28:N28</xm:f>
              <xm:sqref>C28</xm:sqref>
            </x14:sparkline>
            <x14:sparkline>
              <xm:f>'Low activity under 10m'!D29:N29</xm:f>
              <xm:sqref>C29</xm:sqref>
            </x14:sparkline>
            <x14:sparkline>
              <xm:f>'Low activity under 10m'!D30:N30</xm:f>
              <xm:sqref>C30</xm:sqref>
            </x14:sparkline>
            <x14:sparkline>
              <xm:f>'Low activity under 10m'!D31:N31</xm:f>
              <xm:sqref>C31</xm:sqref>
            </x14:sparkline>
            <x14:sparkline>
              <xm:f>'Low activity under 10m'!D32:N32</xm:f>
              <xm:sqref>C32</xm:sqref>
            </x14:sparkline>
            <x14:sparkline>
              <xm:f>'Low activity under 10m'!D33:N33</xm:f>
              <xm:sqref>C33</xm:sqref>
            </x14:sparkline>
            <x14:sparkline>
              <xm:f>'Low activity under 10m'!D34:N34</xm:f>
              <xm:sqref>C34</xm:sqref>
            </x14:sparkline>
            <x14:sparkline>
              <xm:f>'Low activity under 10m'!D35:N35</xm:f>
              <xm:sqref>C35</xm:sqref>
            </x14:sparkline>
            <x14:sparkline>
              <xm:f>'Low activity under 10m'!D36:N36</xm:f>
              <xm:sqref>C36</xm:sqref>
            </x14:sparkline>
            <x14:sparkline>
              <xm:f>'Low activity under 10m'!D37:N37</xm:f>
              <xm:sqref>C37</xm:sqref>
            </x14:sparkline>
            <x14:sparkline>
              <xm:f>'Low activity under 10m'!D38:N38</xm:f>
              <xm:sqref>C38</xm:sqref>
            </x14:sparkline>
            <x14:sparkline>
              <xm:f>'Low activity under 10m'!D39:N39</xm:f>
              <xm:sqref>C39</xm:sqref>
            </x14:sparkline>
            <x14:sparkline>
              <xm:f>'Low activity under 10m'!D40:N40</xm:f>
              <xm:sqref>C40</xm:sqref>
            </x14:sparkline>
            <x14:sparkline>
              <xm:f>'Low activity under 10m'!D41:N41</xm:f>
              <xm:sqref>C41</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93827-254F-4228-9DEA-B3C553F8391F}">
  <sheetPr codeName="Feuil17">
    <pageSetUpPr fitToPage="1"/>
  </sheetPr>
  <dimension ref="A1:S192"/>
  <sheetViews>
    <sheetView topLeftCell="A43"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20</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10</v>
      </c>
      <c r="E3" s="27">
        <v>9</v>
      </c>
      <c r="F3" s="27">
        <v>8</v>
      </c>
      <c r="G3" s="27">
        <v>11</v>
      </c>
      <c r="H3" s="27">
        <v>11</v>
      </c>
      <c r="I3" s="27">
        <v>10</v>
      </c>
      <c r="J3" s="27">
        <v>9</v>
      </c>
      <c r="K3" s="27">
        <v>9</v>
      </c>
      <c r="L3" s="27">
        <v>7</v>
      </c>
      <c r="M3" s="27">
        <v>7</v>
      </c>
      <c r="N3" s="27">
        <v>7</v>
      </c>
      <c r="O3" s="28">
        <f t="shared" ref="O3:O41" si="0">IF(N3=0,"",IFERROR(IF(AND(N3&gt;0,D3&lt;0),"na",IF(AND(N3&lt;0,D3&lt;0),-1,1)*(N3-D3)/D3),""))</f>
        <v>-0.3</v>
      </c>
      <c r="P3" s="28">
        <f t="shared" ref="P3:P41" si="1">IF(N3=0,"",IFERROR(IF(AND(N3&gt;0,J3&lt;0),"na",IF(AND(N3&lt;0,J3&lt;0),-1,1)*(N3-J3)/J3),""))</f>
        <v>-0.22222222222222221</v>
      </c>
      <c r="Q3" s="206"/>
    </row>
    <row r="4" spans="1:17" ht="18" customHeight="1">
      <c r="A4" s="172"/>
      <c r="B4" s="29" t="s">
        <v>184</v>
      </c>
      <c r="C4" s="30"/>
      <c r="D4" s="30">
        <v>14161</v>
      </c>
      <c r="E4" s="30">
        <v>13042</v>
      </c>
      <c r="F4" s="30">
        <v>11550</v>
      </c>
      <c r="G4" s="30">
        <v>16004</v>
      </c>
      <c r="H4" s="30">
        <v>16004</v>
      </c>
      <c r="I4" s="30">
        <v>14534</v>
      </c>
      <c r="J4" s="30">
        <v>13209</v>
      </c>
      <c r="K4" s="30">
        <v>13188</v>
      </c>
      <c r="L4" s="30">
        <v>10226</v>
      </c>
      <c r="M4" s="30">
        <v>10375</v>
      </c>
      <c r="N4" s="30">
        <v>10375</v>
      </c>
      <c r="O4" s="28">
        <f t="shared" si="0"/>
        <v>-0.26735400042369889</v>
      </c>
      <c r="P4" s="28">
        <f t="shared" si="1"/>
        <v>-0.21455068513892042</v>
      </c>
      <c r="Q4" s="206"/>
    </row>
    <row r="5" spans="1:17" ht="18" customHeight="1">
      <c r="A5" s="172"/>
      <c r="B5" s="29" t="s">
        <v>185</v>
      </c>
      <c r="C5" s="30"/>
      <c r="D5" s="30">
        <v>4295</v>
      </c>
      <c r="E5" s="30">
        <v>3992</v>
      </c>
      <c r="F5" s="30">
        <v>3619</v>
      </c>
      <c r="G5" s="30">
        <v>4932</v>
      </c>
      <c r="H5" s="30">
        <v>4932</v>
      </c>
      <c r="I5" s="30">
        <v>4542</v>
      </c>
      <c r="J5" s="30">
        <v>4230</v>
      </c>
      <c r="K5" s="30">
        <v>4413</v>
      </c>
      <c r="L5" s="30">
        <v>3495</v>
      </c>
      <c r="M5" s="30">
        <v>3440</v>
      </c>
      <c r="N5" s="30">
        <v>3440</v>
      </c>
      <c r="O5" s="28">
        <f t="shared" si="0"/>
        <v>-0.19906868451688009</v>
      </c>
      <c r="P5" s="28">
        <f t="shared" si="1"/>
        <v>-0.1867612293144208</v>
      </c>
      <c r="Q5" s="207"/>
    </row>
    <row r="6" spans="1:17" ht="18" customHeight="1">
      <c r="A6" s="172"/>
      <c r="B6" s="29" t="s">
        <v>186</v>
      </c>
      <c r="C6" s="30"/>
      <c r="D6" s="30">
        <v>9875.4951171875</v>
      </c>
      <c r="E6" s="30">
        <v>9081.544921875</v>
      </c>
      <c r="F6" s="30">
        <v>8089.27001953125</v>
      </c>
      <c r="G6" s="30">
        <v>11120.625</v>
      </c>
      <c r="H6" s="30">
        <v>11120.625</v>
      </c>
      <c r="I6" s="30">
        <v>10101.955078125</v>
      </c>
      <c r="J6" s="30">
        <v>9213.705078125</v>
      </c>
      <c r="K6" s="30">
        <v>9280.6396484375</v>
      </c>
      <c r="L6" s="30">
        <v>7223.61962890625</v>
      </c>
      <c r="M6" s="30">
        <v>7271.544921875</v>
      </c>
      <c r="N6" s="30">
        <v>7271.544921875</v>
      </c>
      <c r="O6" s="28">
        <f t="shared" si="0"/>
        <v>-0.2636779386160128</v>
      </c>
      <c r="P6" s="28">
        <f t="shared" si="1"/>
        <v>-0.21079035412811714</v>
      </c>
      <c r="Q6" s="206"/>
    </row>
    <row r="7" spans="1:17" ht="18" customHeight="1">
      <c r="A7" s="172"/>
      <c r="B7" s="29" t="s">
        <v>187</v>
      </c>
      <c r="C7" s="30"/>
      <c r="D7" s="30">
        <v>9776.9794921875</v>
      </c>
      <c r="E7" s="30">
        <v>9154.0185546875</v>
      </c>
      <c r="F7" s="30">
        <v>9349.4169921875</v>
      </c>
      <c r="G7" s="30">
        <v>11582.8134765625</v>
      </c>
      <c r="H7" s="30">
        <v>10948.8837890625</v>
      </c>
      <c r="I7" s="30">
        <v>10653.53125</v>
      </c>
      <c r="J7" s="30">
        <v>10781.927734375</v>
      </c>
      <c r="K7" s="30">
        <v>7171.779296875</v>
      </c>
      <c r="L7" s="30">
        <v>5015.685546875</v>
      </c>
      <c r="M7" s="30">
        <v>4485.6904296875</v>
      </c>
      <c r="N7" s="30">
        <v>3054.88330078125</v>
      </c>
      <c r="O7" s="28">
        <f t="shared" si="0"/>
        <v>-0.68754324347081652</v>
      </c>
      <c r="P7" s="28">
        <f t="shared" si="1"/>
        <v>-0.71666631644713641</v>
      </c>
      <c r="Q7" s="206"/>
    </row>
    <row r="8" spans="1:17" ht="18" customHeight="1">
      <c r="A8" s="172"/>
      <c r="B8" s="29" t="s">
        <v>188</v>
      </c>
      <c r="C8" s="31"/>
      <c r="D8" s="31">
        <f ca="1">21.822058*OFFSET(D$112,MATCH($N$1,$C$112:$C$113,0)-1,0)</f>
        <v>21.822057999999998</v>
      </c>
      <c r="E8" s="31">
        <f ca="1">20.120538*OFFSET(E$112,MATCH($N$1,$C$112:$C$113,0)-1,0)</f>
        <v>20.120538</v>
      </c>
      <c r="F8" s="31">
        <f ca="1">17.957764*OFFSET(F$112,MATCH($N$1,$C$112:$C$113,0)-1,0)</f>
        <v>17.957764000000001</v>
      </c>
      <c r="G8" s="31">
        <f ca="1">20.521372*OFFSET(G$112,MATCH($N$1,$C$112:$C$113,0)-1,0)</f>
        <v>20.521372</v>
      </c>
      <c r="H8" s="31">
        <f ca="1">20.216886*OFFSET(H$112,MATCH($N$1,$C$112:$C$113,0)-1,0)</f>
        <v>20.216885999999999</v>
      </c>
      <c r="I8" s="31">
        <f ca="1">21.458332*OFFSET(I$112,MATCH($N$1,$C$112:$C$113,0)-1,0)</f>
        <v>21.458331999999999</v>
      </c>
      <c r="J8" s="31">
        <f ca="1">22.998548*OFFSET(J$112,MATCH($N$1,$C$112:$C$113,0)-1,0)</f>
        <v>22.998548</v>
      </c>
      <c r="K8" s="31">
        <f ca="1">14.762055*OFFSET(K$112,MATCH($N$1,$C$112:$C$113,0)-1,0)</f>
        <v>14.762055</v>
      </c>
      <c r="L8" s="31">
        <f ca="1">12.79943*OFFSET(L$112,MATCH($N$1,$C$112:$C$113,0)-1,0)</f>
        <v>12.799429999999999</v>
      </c>
      <c r="M8" s="31">
        <f ca="1">9.912051*OFFSET(M$112,MATCH($N$1,$C$112:$C$113,0)-1,0)</f>
        <v>9.9120509999999999</v>
      </c>
      <c r="N8" s="31">
        <v>4.9803274999999996</v>
      </c>
      <c r="O8" s="28">
        <f t="shared" ca="1" si="0"/>
        <v>-0.77177553556131129</v>
      </c>
      <c r="P8" s="28">
        <f t="shared" ca="1" si="1"/>
        <v>-0.78345035086562853</v>
      </c>
      <c r="Q8" s="206"/>
    </row>
    <row r="9" spans="1:17" ht="18" customHeight="1">
      <c r="A9" s="172"/>
      <c r="B9" s="29" t="s">
        <v>189</v>
      </c>
      <c r="C9" s="30"/>
      <c r="D9" s="30">
        <v>2355</v>
      </c>
      <c r="E9" s="30">
        <v>1883</v>
      </c>
      <c r="F9" s="30">
        <v>1735</v>
      </c>
      <c r="G9" s="30">
        <v>2599</v>
      </c>
      <c r="H9" s="30">
        <v>2461</v>
      </c>
      <c r="I9" s="30">
        <v>2298</v>
      </c>
      <c r="J9" s="30">
        <v>2219</v>
      </c>
      <c r="K9" s="30">
        <v>1713</v>
      </c>
      <c r="L9" s="30">
        <v>1683</v>
      </c>
      <c r="M9" s="30">
        <v>1783</v>
      </c>
      <c r="N9" s="30">
        <v>1700</v>
      </c>
      <c r="O9" s="28">
        <f t="shared" si="0"/>
        <v>-0.2781316348195329</v>
      </c>
      <c r="P9" s="28">
        <f t="shared" si="1"/>
        <v>-0.23388913925191529</v>
      </c>
      <c r="Q9" s="206"/>
    </row>
    <row r="10" spans="1:17" ht="18" customHeight="1">
      <c r="A10" s="172"/>
      <c r="B10" s="29" t="s">
        <v>190</v>
      </c>
      <c r="C10" s="30"/>
      <c r="D10" s="30">
        <v>217.877197265625</v>
      </c>
      <c r="E10" s="30">
        <v>172.56587219238281</v>
      </c>
      <c r="F10" s="30">
        <v>160.97640991210938</v>
      </c>
      <c r="G10" s="30">
        <v>263.26486206054688</v>
      </c>
      <c r="H10" s="30">
        <v>247.15762329101563</v>
      </c>
      <c r="I10" s="30">
        <v>232.23030090332031</v>
      </c>
      <c r="J10" s="30">
        <v>229.70765686035156</v>
      </c>
      <c r="K10" s="30">
        <v>173.9376220703125</v>
      </c>
      <c r="L10" s="30">
        <v>173.91526794433594</v>
      </c>
      <c r="M10" s="30">
        <v>183.06011962890625</v>
      </c>
      <c r="N10" s="30">
        <v>171.20822143554688</v>
      </c>
      <c r="O10" s="32">
        <f t="shared" si="0"/>
        <v>-0.21419853208953132</v>
      </c>
      <c r="P10" s="32">
        <f t="shared" si="1"/>
        <v>-0.25466907034957403</v>
      </c>
      <c r="Q10" s="206"/>
    </row>
    <row r="11" spans="1:17" ht="18" customHeight="1">
      <c r="A11" s="173" t="s">
        <v>191</v>
      </c>
      <c r="B11" s="33" t="s">
        <v>192</v>
      </c>
      <c r="C11" s="34"/>
      <c r="D11" s="34">
        <v>40.396999359130859</v>
      </c>
      <c r="E11" s="34">
        <v>40.852222442626953</v>
      </c>
      <c r="F11" s="34">
        <v>41.240001678466797</v>
      </c>
      <c r="G11" s="34">
        <v>40.977272033691406</v>
      </c>
      <c r="H11" s="34">
        <v>40.977272033691406</v>
      </c>
      <c r="I11" s="34">
        <v>40.873001098632813</v>
      </c>
      <c r="J11" s="34">
        <v>41.358890533447266</v>
      </c>
      <c r="K11" s="34">
        <v>42.068889617919922</v>
      </c>
      <c r="L11" s="34">
        <v>42.271427154541016</v>
      </c>
      <c r="M11" s="34">
        <v>41.950000762939453</v>
      </c>
      <c r="N11" s="34">
        <v>41.950000762939453</v>
      </c>
      <c r="O11" s="28">
        <f t="shared" si="0"/>
        <v>3.8443484131144304E-2</v>
      </c>
      <c r="P11" s="28">
        <f t="shared" si="1"/>
        <v>1.4292216785025989E-2</v>
      </c>
      <c r="Q11" s="206"/>
    </row>
    <row r="12" spans="1:17" ht="18" customHeight="1">
      <c r="A12" s="174"/>
      <c r="B12" s="35" t="s">
        <v>184</v>
      </c>
      <c r="C12" s="30"/>
      <c r="D12" s="30">
        <v>1416.0999755859375</v>
      </c>
      <c r="E12" s="30">
        <v>1449.111083984375</v>
      </c>
      <c r="F12" s="30">
        <v>1443.75</v>
      </c>
      <c r="G12" s="30">
        <v>1454.9090576171875</v>
      </c>
      <c r="H12" s="30">
        <v>1454.9090576171875</v>
      </c>
      <c r="I12" s="30">
        <v>1453.4000244140625</v>
      </c>
      <c r="J12" s="30">
        <v>1467.6666259765625</v>
      </c>
      <c r="K12" s="30">
        <v>1465.3333740234375</v>
      </c>
      <c r="L12" s="30">
        <v>1460.857177734375</v>
      </c>
      <c r="M12" s="30">
        <v>1482.142822265625</v>
      </c>
      <c r="N12" s="30">
        <v>1482.142822265625</v>
      </c>
      <c r="O12" s="28">
        <f t="shared" si="0"/>
        <v>4.6637135667177067E-2</v>
      </c>
      <c r="P12" s="28">
        <f t="shared" si="1"/>
        <v>9.8634090554660294E-3</v>
      </c>
      <c r="Q12" s="206"/>
    </row>
    <row r="13" spans="1:17" ht="18" customHeight="1">
      <c r="A13" s="174"/>
      <c r="B13" s="35" t="s">
        <v>185</v>
      </c>
      <c r="C13" s="30"/>
      <c r="D13" s="30">
        <v>429.5</v>
      </c>
      <c r="E13" s="30">
        <v>443.5555419921875</v>
      </c>
      <c r="F13" s="30">
        <v>452.375</v>
      </c>
      <c r="G13" s="30">
        <v>448.3636474609375</v>
      </c>
      <c r="H13" s="30">
        <v>448.3636474609375</v>
      </c>
      <c r="I13" s="30">
        <v>454.20001220703125</v>
      </c>
      <c r="J13" s="30">
        <v>470</v>
      </c>
      <c r="K13" s="30">
        <v>490.33334350585938</v>
      </c>
      <c r="L13" s="30">
        <v>499.28570556640625</v>
      </c>
      <c r="M13" s="30">
        <v>491.42855834960938</v>
      </c>
      <c r="N13" s="30">
        <v>491.42855834960938</v>
      </c>
      <c r="O13" s="28">
        <f t="shared" si="0"/>
        <v>0.14418756309571448</v>
      </c>
      <c r="P13" s="28">
        <f t="shared" si="1"/>
        <v>4.5592677339594413E-2</v>
      </c>
      <c r="Q13" s="206"/>
    </row>
    <row r="14" spans="1:17" ht="18" customHeight="1">
      <c r="A14" s="174"/>
      <c r="B14" s="35" t="s">
        <v>186</v>
      </c>
      <c r="C14" s="30"/>
      <c r="D14" s="30">
        <v>987.54949951171875</v>
      </c>
      <c r="E14" s="30">
        <v>1009.060546875</v>
      </c>
      <c r="F14" s="30">
        <v>1011.1587524414063</v>
      </c>
      <c r="G14" s="30">
        <v>1010.9658813476563</v>
      </c>
      <c r="H14" s="30">
        <v>1010.9658813476563</v>
      </c>
      <c r="I14" s="30">
        <v>1010.1954956054688</v>
      </c>
      <c r="J14" s="30">
        <v>1023.7449951171875</v>
      </c>
      <c r="K14" s="30">
        <v>1031.1822509765625</v>
      </c>
      <c r="L14" s="30">
        <v>1031.9456787109375</v>
      </c>
      <c r="M14" s="30">
        <v>1038.7921142578125</v>
      </c>
      <c r="N14" s="30">
        <v>1038.7921142578125</v>
      </c>
      <c r="O14" s="28">
        <f t="shared" si="0"/>
        <v>5.1888654463831944E-2</v>
      </c>
      <c r="P14" s="28">
        <f t="shared" si="1"/>
        <v>1.4698112530359736E-2</v>
      </c>
      <c r="Q14" s="206"/>
    </row>
    <row r="15" spans="1:17" ht="18" customHeight="1">
      <c r="A15" s="174"/>
      <c r="B15" s="35" t="s">
        <v>187</v>
      </c>
      <c r="C15" s="31"/>
      <c r="D15" s="31">
        <v>977.69793701171875</v>
      </c>
      <c r="E15" s="31">
        <v>1017.1131591796875</v>
      </c>
      <c r="F15" s="31">
        <v>1168.6771240234375</v>
      </c>
      <c r="G15" s="31">
        <v>1052.9830322265625</v>
      </c>
      <c r="H15" s="31">
        <v>995.35308837890625</v>
      </c>
      <c r="I15" s="31">
        <v>1065.3531494140625</v>
      </c>
      <c r="J15" s="31">
        <v>1197.9920654296875</v>
      </c>
      <c r="K15" s="31">
        <v>796.8643798828125</v>
      </c>
      <c r="L15" s="31">
        <v>716.5264892578125</v>
      </c>
      <c r="M15" s="31">
        <v>640.81292724609375</v>
      </c>
      <c r="N15" s="31">
        <v>436.41192626953125</v>
      </c>
      <c r="O15" s="28">
        <f t="shared" si="0"/>
        <v>-0.55363317263059708</v>
      </c>
      <c r="P15" s="28">
        <f t="shared" si="1"/>
        <v>-0.63571384246772777</v>
      </c>
      <c r="Q15" s="206"/>
    </row>
    <row r="16" spans="1:17" ht="18" customHeight="1">
      <c r="A16" s="174"/>
      <c r="B16" s="35" t="s">
        <v>193</v>
      </c>
      <c r="C16" s="31"/>
      <c r="D16" s="31">
        <f ca="1">2182.20575*OFFSET(D$112,MATCH($N$1,$C$112:$C$113,0)-1,0)</f>
        <v>2182.2057500000001</v>
      </c>
      <c r="E16" s="31">
        <f ca="1">2235.61525*OFFSET(E$112,MATCH($N$1,$C$112:$C$113,0)-1,0)</f>
        <v>2235.6152499999998</v>
      </c>
      <c r="F16" s="31">
        <f ca="1">2244.7205*OFFSET(F$112,MATCH($N$1,$C$112:$C$113,0)-1,0)</f>
        <v>2244.7204999999999</v>
      </c>
      <c r="G16" s="31">
        <f ca="1">1865.579125*OFFSET(G$112,MATCH($N$1,$C$112:$C$113,0)-1,0)</f>
        <v>1865.579125</v>
      </c>
      <c r="H16" s="31">
        <f ca="1">1837.89875*OFFSET(H$112,MATCH($N$1,$C$112:$C$113,0)-1,0)</f>
        <v>1837.8987500000001</v>
      </c>
      <c r="I16" s="31">
        <f ca="1">2145.83325*OFFSET(I$112,MATCH($N$1,$C$112:$C$113,0)-1,0)</f>
        <v>2145.8332500000001</v>
      </c>
      <c r="J16" s="31">
        <f ca="1">2555.39425*OFFSET(J$112,MATCH($N$1,$C$112:$C$113,0)-1,0)</f>
        <v>2555.3942499999998</v>
      </c>
      <c r="K16" s="31">
        <f ca="1">1640.228375*OFFSET(K$112,MATCH($N$1,$C$112:$C$113,0)-1,0)</f>
        <v>1640.2283749999999</v>
      </c>
      <c r="L16" s="31">
        <f ca="1">1828.49*OFFSET(L$112,MATCH($N$1,$C$112:$C$113,0)-1,0)</f>
        <v>1828.49</v>
      </c>
      <c r="M16" s="31">
        <f ca="1">1416.00725*OFFSET(M$112,MATCH($N$1,$C$112:$C$113,0)-1,0)</f>
        <v>1416.0072500000001</v>
      </c>
      <c r="N16" s="31">
        <v>711.47537499999999</v>
      </c>
      <c r="O16" s="28">
        <f t="shared" ca="1" si="0"/>
        <v>-0.67396503514849604</v>
      </c>
      <c r="P16" s="28">
        <f t="shared" ca="1" si="1"/>
        <v>-0.72157901858000972</v>
      </c>
      <c r="Q16" s="206"/>
    </row>
    <row r="17" spans="1:16" ht="18" customHeight="1">
      <c r="A17" s="174"/>
      <c r="B17" s="35" t="s">
        <v>189</v>
      </c>
      <c r="C17" s="30"/>
      <c r="D17" s="30">
        <v>235.5</v>
      </c>
      <c r="E17" s="30">
        <v>209.22222900390625</v>
      </c>
      <c r="F17" s="30">
        <v>216.875</v>
      </c>
      <c r="G17" s="30">
        <v>236.27272033691406</v>
      </c>
      <c r="H17" s="30">
        <v>223.72727966308594</v>
      </c>
      <c r="I17" s="30">
        <v>229.80000305175781</v>
      </c>
      <c r="J17" s="30">
        <v>246.55555725097656</v>
      </c>
      <c r="K17" s="30">
        <v>190.33332824707031</v>
      </c>
      <c r="L17" s="30">
        <v>240.42857360839844</v>
      </c>
      <c r="M17" s="30">
        <v>254.71427917480469</v>
      </c>
      <c r="N17" s="30">
        <v>242.85714721679688</v>
      </c>
      <c r="O17" s="28">
        <f t="shared" si="0"/>
        <v>3.1240540198712845E-2</v>
      </c>
      <c r="P17" s="28">
        <f t="shared" si="1"/>
        <v>-1.5000310986358994E-2</v>
      </c>
    </row>
    <row r="18" spans="1:16" ht="18" customHeight="1">
      <c r="A18" s="174"/>
      <c r="B18" s="35" t="s">
        <v>194</v>
      </c>
      <c r="C18" s="30"/>
      <c r="D18" s="30">
        <v>23.600000381469727</v>
      </c>
      <c r="E18" s="30">
        <v>24</v>
      </c>
      <c r="F18" s="30">
        <v>25</v>
      </c>
      <c r="G18" s="30">
        <v>23.636363983154297</v>
      </c>
      <c r="H18" s="30">
        <v>24.636363983154297</v>
      </c>
      <c r="I18" s="30">
        <v>24.600000381469727</v>
      </c>
      <c r="J18" s="30">
        <v>25.111110687255859</v>
      </c>
      <c r="K18" s="30">
        <v>25.44444465637207</v>
      </c>
      <c r="L18" s="30">
        <v>27</v>
      </c>
      <c r="M18" s="30">
        <v>28.571428298950195</v>
      </c>
      <c r="N18" s="30">
        <v>29.571428298950195</v>
      </c>
      <c r="O18" s="28">
        <f t="shared" si="0"/>
        <v>0.25302660258298643</v>
      </c>
      <c r="P18" s="28">
        <f t="shared" si="1"/>
        <v>0.17762327072047801</v>
      </c>
    </row>
    <row r="19" spans="1:16" ht="18" customHeight="1">
      <c r="A19" s="174"/>
      <c r="B19" s="35" t="s">
        <v>195</v>
      </c>
      <c r="C19" s="36"/>
      <c r="D19" s="36">
        <v>4.1515836715698242</v>
      </c>
      <c r="E19" s="36">
        <v>4.8614010810852051</v>
      </c>
      <c r="F19" s="36">
        <v>5.3887128829956055</v>
      </c>
      <c r="G19" s="36">
        <v>4.4566426277160645</v>
      </c>
      <c r="H19" s="36">
        <v>4.4489569664001465</v>
      </c>
      <c r="I19" s="36">
        <v>4.6360015869140625</v>
      </c>
      <c r="J19" s="36">
        <v>4.8589134216308594</v>
      </c>
      <c r="K19" s="36">
        <v>4.1866779327392578</v>
      </c>
      <c r="L19" s="36">
        <v>2.9802052974700928</v>
      </c>
      <c r="M19" s="36">
        <v>2.5158107280731201</v>
      </c>
      <c r="N19" s="36">
        <v>1.7969902753829956</v>
      </c>
      <c r="O19" s="28">
        <f t="shared" si="0"/>
        <v>-0.56715547185310478</v>
      </c>
      <c r="P19" s="28">
        <f t="shared" si="1"/>
        <v>-0.63016622865038641</v>
      </c>
    </row>
    <row r="20" spans="1:16" ht="18" customHeight="1">
      <c r="A20" s="175"/>
      <c r="B20" s="37" t="s">
        <v>196</v>
      </c>
      <c r="C20" s="38"/>
      <c r="D20" s="38">
        <f ca="1">2232*OFFSET(D$112,MATCH($N$1,$C$112:$C$113,0)-1,0)</f>
        <v>2232</v>
      </c>
      <c r="E20" s="38">
        <f ca="1">2198*OFFSET(E$112,MATCH($N$1,$C$112:$C$113,0)-1,0)</f>
        <v>2198</v>
      </c>
      <c r="F20" s="38">
        <f ca="1">1921*OFFSET(F$112,MATCH($N$1,$C$112:$C$113,0)-1,0)</f>
        <v>1921</v>
      </c>
      <c r="G20" s="38">
        <f ca="1">1772*OFFSET(G$112,MATCH($N$1,$C$112:$C$113,0)-1,0)</f>
        <v>1772</v>
      </c>
      <c r="H20" s="38">
        <f ca="1">1846*OFFSET(H$112,MATCH($N$1,$C$112:$C$113,0)-1,0)</f>
        <v>1846</v>
      </c>
      <c r="I20" s="38">
        <f ca="1">2014*OFFSET(I$112,MATCH($N$1,$C$112:$C$113,0)-1,0)</f>
        <v>2014</v>
      </c>
      <c r="J20" s="38">
        <f ca="1">2133*OFFSET(J$112,MATCH($N$1,$C$112:$C$113,0)-1,0)</f>
        <v>2133</v>
      </c>
      <c r="K20" s="38">
        <f ca="1">2058*OFFSET(K$112,MATCH($N$1,$C$112:$C$113,0)-1,0)</f>
        <v>2058</v>
      </c>
      <c r="L20" s="38">
        <f ca="1">2552*OFFSET(L$112,MATCH($N$1,$C$112:$C$113,0)-1,0)</f>
        <v>2552</v>
      </c>
      <c r="M20" s="38">
        <f ca="1">2210*OFFSET(M$112,MATCH($N$1,$C$112:$C$113,0)-1,0)</f>
        <v>2210</v>
      </c>
      <c r="N20" s="38">
        <v>1630</v>
      </c>
      <c r="O20" s="32">
        <f t="shared" ca="1" si="0"/>
        <v>-0.26971326164874554</v>
      </c>
      <c r="P20" s="32">
        <f t="shared" ca="1" si="1"/>
        <v>-0.23581809657759026</v>
      </c>
    </row>
    <row r="21" spans="1:16" ht="18" customHeight="1">
      <c r="A21" s="176" t="s">
        <v>197</v>
      </c>
      <c r="B21" s="33" t="s">
        <v>198</v>
      </c>
      <c r="C21" s="39"/>
      <c r="D21" s="39">
        <v>2.9324405182709454</v>
      </c>
      <c r="E21" s="39">
        <v>3.3281555950026775</v>
      </c>
      <c r="F21" s="39">
        <v>3.6989979213846667</v>
      </c>
      <c r="G21" s="39">
        <v>3.0654884837860195</v>
      </c>
      <c r="H21" s="39">
        <v>3.0560596484096374</v>
      </c>
      <c r="I21" s="39">
        <v>3.1873325317702004</v>
      </c>
      <c r="J21" s="39">
        <v>3.3147402027274158</v>
      </c>
      <c r="K21" s="39">
        <v>2.8714924850069496</v>
      </c>
      <c r="L21" s="39">
        <v>2.038167439492141</v>
      </c>
      <c r="M21" s="39">
        <v>1.698740415545378</v>
      </c>
      <c r="N21" s="39">
        <v>1.2132909662062246</v>
      </c>
      <c r="O21" s="28">
        <f t="shared" si="0"/>
        <v>-0.58625214777702728</v>
      </c>
      <c r="P21" s="28">
        <f t="shared" si="1"/>
        <v>-0.63397102276434469</v>
      </c>
    </row>
    <row r="22" spans="1:16" ht="18" customHeight="1">
      <c r="A22" s="176"/>
      <c r="B22" s="35" t="s">
        <v>199</v>
      </c>
      <c r="C22" s="36"/>
      <c r="D22" s="36">
        <f ca="1">6.54515911127174*OFFSET(D$112,MATCH($N$1,$C$112:$C$113,0)-1,0)</f>
        <v>6.5451591112717402</v>
      </c>
      <c r="E22" s="36">
        <f ca="1">7.31528771937395*OFFSET(E$112,MATCH($N$1,$C$112:$C$113,0)-1,0)</f>
        <v>7.3152877193739503</v>
      </c>
      <c r="F22" s="36">
        <f ca="1">7.10479934355507*OFFSET(F$112,MATCH($N$1,$C$112:$C$113,0)-1,0)</f>
        <v>7.1047993435550696</v>
      </c>
      <c r="G22" s="36">
        <f ca="1">5.4311524006102*OFFSET(G$112,MATCH($N$1,$C$112:$C$113,0)-1,0)</f>
        <v>5.4311524006102001</v>
      </c>
      <c r="H22" s="36">
        <f ca="1">5.64295049999319*OFFSET(H$112,MATCH($N$1,$C$112:$C$113,0)-1,0)</f>
        <v>5.6429504999931899</v>
      </c>
      <c r="I22" s="36">
        <f ca="1">6.41992200355427*OFFSET(I$112,MATCH($N$1,$C$112:$C$113,0)-1,0)</f>
        <v>6.4199220035542703</v>
      </c>
      <c r="J22" s="36">
        <f ca="1">7.07055438739934*OFFSET(J$112,MATCH($N$1,$C$112:$C$113,0)-1,0)</f>
        <v>7.0705543873993397</v>
      </c>
      <c r="K22" s="36">
        <f ca="1">5.91054584871808*OFFSET(K$112,MATCH($N$1,$C$112:$C$113,0)-1,0)</f>
        <v>5.9105458487180798</v>
      </c>
      <c r="L22" s="36">
        <f ca="1">5.20115981378054*OFFSET(L$112,MATCH($N$1,$C$112:$C$113,0)-1,0)</f>
        <v>5.2011598137805404</v>
      </c>
      <c r="M22" s="36">
        <f ca="1">3.75371444926626*OFFSET(M$112,MATCH($N$1,$C$112:$C$113,0)-1,0)</f>
        <v>3.7537144492662602</v>
      </c>
      <c r="N22" s="36">
        <v>1.9780088334078907</v>
      </c>
      <c r="O22" s="28">
        <f t="shared" ca="1" si="0"/>
        <v>-0.69779056554920649</v>
      </c>
      <c r="P22" s="28">
        <f t="shared" ca="1" si="1"/>
        <v>-0.72024699549260762</v>
      </c>
    </row>
    <row r="23" spans="1:16" ht="18" customHeight="1">
      <c r="A23" s="176"/>
      <c r="B23" s="35" t="s">
        <v>154</v>
      </c>
      <c r="C23" s="36"/>
      <c r="D23" s="36">
        <f ca="1">6.09518864385259*OFFSET(D$112,MATCH($N$1,$C$112:$C$113,0)-1,0)</f>
        <v>6.0951886438525902</v>
      </c>
      <c r="E23" s="36">
        <f ca="1">6.89902216428598*OFFSET(E$112,MATCH($N$1,$C$112:$C$113,0)-1,0)</f>
        <v>6.8990221642859799</v>
      </c>
      <c r="F23" s="36">
        <f ca="1">7.11218789273394*OFFSET(F$112,MATCH($N$1,$C$112:$C$113,0)-1,0)</f>
        <v>7.1121878927339397</v>
      </c>
      <c r="G23" s="36">
        <f ca="1">5.80264141426501*OFFSET(G$112,MATCH($N$1,$C$112:$C$113,0)-1,0)</f>
        <v>5.8026414142650102</v>
      </c>
      <c r="H23" s="36">
        <f ca="1">5.77784871163075*OFFSET(H$112,MATCH($N$1,$C$112:$C$113,0)-1,0)</f>
        <v>5.7778487116307504</v>
      </c>
      <c r="I23" s="36">
        <f ca="1">6.14422253276778*OFFSET(I$112,MATCH($N$1,$C$112:$C$113,0)-1,0)</f>
        <v>6.1442225327677802</v>
      </c>
      <c r="J23" s="36">
        <f ca="1">6.25026855811997*OFFSET(J$112,MATCH($N$1,$C$112:$C$113,0)-1,0)</f>
        <v>6.25026855811997</v>
      </c>
      <c r="K23" s="36">
        <f ca="1">5.84359557428419*OFFSET(K$112,MATCH($N$1,$C$112:$C$113,0)-1,0)</f>
        <v>5.8435955742841896</v>
      </c>
      <c r="L23" s="36">
        <f ca="1">6.26155045891295*OFFSET(L$112,MATCH($N$1,$C$112:$C$113,0)-1,0)</f>
        <v>6.26155045891295</v>
      </c>
      <c r="M23" s="36">
        <f ca="1">4.20605990818723*OFFSET(M$112,MATCH($N$1,$C$112:$C$113,0)-1,0)</f>
        <v>4.2060599081872301</v>
      </c>
      <c r="N23" s="36">
        <v>3.3348407434053735</v>
      </c>
      <c r="O23" s="28">
        <f t="shared" ca="1" si="0"/>
        <v>-0.45287325163122133</v>
      </c>
      <c r="P23" s="28">
        <f t="shared" ca="1" si="1"/>
        <v>-0.46644840739315901</v>
      </c>
    </row>
    <row r="24" spans="1:16" ht="18" customHeight="1">
      <c r="A24" s="176"/>
      <c r="B24" s="35" t="s">
        <v>155</v>
      </c>
      <c r="C24" s="36"/>
      <c r="D24" s="36">
        <f ca="1">0.469261347995317*OFFSET(D$112,MATCH($N$1,$C$112:$C$113,0)-1,0)</f>
        <v>0.46926134799531699</v>
      </c>
      <c r="E24" s="36">
        <f ca="1">0.437826276394944*OFFSET(E$112,MATCH($N$1,$C$112:$C$113,0)-1,0)</f>
        <v>0.43782627639494398</v>
      </c>
      <c r="F24" s="36">
        <f ca="1">0.0135517876175939*OFFSET(F$112,MATCH($N$1,$C$112:$C$113,0)-1,0)</f>
        <v>1.3551787617593901E-2</v>
      </c>
      <c r="G24" s="36">
        <f ca="1">-0.298401969200515*OFFSET(G$112,MATCH($N$1,$C$112:$C$113,0)-1,0)</f>
        <v>-0.29840196920051498</v>
      </c>
      <c r="H24" s="36">
        <f ca="1">-0.111521491522731*OFFSET(H$112,MATCH($N$1,$C$112:$C$113,0)-1,0)</f>
        <v>-0.111521491522731</v>
      </c>
      <c r="I24" s="36">
        <f ca="1">0.471474929767297*OFFSET(I$112,MATCH($N$1,$C$112:$C$113,0)-1,0)</f>
        <v>0.47147492976729699</v>
      </c>
      <c r="J24" s="36">
        <f ca="1">0.892656041373655*OFFSET(J$112,MATCH($N$1,$C$112:$C$113,0)-1,0)</f>
        <v>0.89265604137365495</v>
      </c>
      <c r="K24" s="36">
        <f ca="1">0.247192318576405*OFFSET(K$112,MATCH($N$1,$C$112:$C$113,0)-1,0)</f>
        <v>0.247192318576405</v>
      </c>
      <c r="L24" s="36">
        <f ca="1">-0.165491591047862*OFFSET(L$112,MATCH($N$1,$C$112:$C$113,0)-1,0)</f>
        <v>-0.16549159104786201</v>
      </c>
      <c r="M24" s="36">
        <f ca="1">-0.3378759794405*OFFSET(M$112,MATCH($N$1,$C$112:$C$113,0)-1,0)</f>
        <v>-0.33787597944050002</v>
      </c>
      <c r="N24" s="36">
        <v>-1.2965125527718233</v>
      </c>
      <c r="O24" s="28">
        <f t="shared" ca="1" si="0"/>
        <v>-3.7628794877535103</v>
      </c>
      <c r="P24" s="28">
        <f t="shared" ca="1" si="1"/>
        <v>-2.4524211932478468</v>
      </c>
    </row>
    <row r="25" spans="1:16" ht="18" customHeight="1">
      <c r="A25" s="176"/>
      <c r="B25" s="35" t="s">
        <v>200</v>
      </c>
      <c r="C25" s="31"/>
      <c r="D25" s="31">
        <f ca="1">100.16*OFFSET(D$112,MATCH($N$1,$C$112:$C$113,0)-1,0)</f>
        <v>100.16</v>
      </c>
      <c r="E25" s="31">
        <f ca="1">116.6*OFFSET(E$112,MATCH($N$1,$C$112:$C$113,0)-1,0)</f>
        <v>116.6</v>
      </c>
      <c r="F25" s="31">
        <f ca="1">111.55*OFFSET(F$112,MATCH($N$1,$C$112:$C$113,0)-1,0)</f>
        <v>111.55</v>
      </c>
      <c r="G25" s="31">
        <f ca="1">77.95*OFFSET(G$112,MATCH($N$1,$C$112:$C$113,0)-1,0)</f>
        <v>77.95</v>
      </c>
      <c r="H25" s="31">
        <f ca="1">81.8*OFFSET(H$112,MATCH($N$1,$C$112:$C$113,0)-1,0)</f>
        <v>81.8</v>
      </c>
      <c r="I25" s="31">
        <f ca="1">92.4*OFFSET(I$112,MATCH($N$1,$C$112:$C$113,0)-1,0)</f>
        <v>92.4</v>
      </c>
      <c r="J25" s="31">
        <f ca="1">100.12*OFFSET(J$112,MATCH($N$1,$C$112:$C$113,0)-1,0)</f>
        <v>100.12</v>
      </c>
      <c r="K25" s="31">
        <f ca="1">84.87*OFFSET(K$112,MATCH($N$1,$C$112:$C$113,0)-1,0)</f>
        <v>84.87</v>
      </c>
      <c r="L25" s="31">
        <f ca="1">73.6*OFFSET(L$112,MATCH($N$1,$C$112:$C$113,0)-1,0)</f>
        <v>73.599999999999994</v>
      </c>
      <c r="M25" s="31">
        <f ca="1">54.15*OFFSET(M$112,MATCH($N$1,$C$112:$C$113,0)-1,0)</f>
        <v>54.15</v>
      </c>
      <c r="N25" s="31">
        <v>29.09</v>
      </c>
      <c r="O25" s="28">
        <f t="shared" ca="1" si="0"/>
        <v>-0.70956469648562293</v>
      </c>
      <c r="P25" s="28">
        <f t="shared" ca="1" si="1"/>
        <v>-0.70944866160607267</v>
      </c>
    </row>
    <row r="26" spans="1:16" ht="18" customHeight="1">
      <c r="A26" s="177"/>
      <c r="B26" s="35" t="s">
        <v>201</v>
      </c>
      <c r="C26" s="31"/>
      <c r="D26" s="31">
        <f ca="1">7.18*OFFSET(D$112,MATCH($N$1,$C$112:$C$113,0)-1,0)</f>
        <v>7.18</v>
      </c>
      <c r="E26" s="31">
        <f ca="1">6.98*OFFSET(E$112,MATCH($N$1,$C$112:$C$113,0)-1,0)</f>
        <v>6.98</v>
      </c>
      <c r="F26" s="31">
        <f ca="1">0.21*OFFSET(F$112,MATCH($N$1,$C$112:$C$113,0)-1,0)</f>
        <v>0.21</v>
      </c>
      <c r="G26" s="31">
        <f ca="1">-4.28*OFFSET(G$112,MATCH($N$1,$C$112:$C$113,0)-1,0)</f>
        <v>-4.28</v>
      </c>
      <c r="H26" s="31">
        <f ca="1">-1.62*OFFSET(H$112,MATCH($N$1,$C$112:$C$113,0)-1,0)</f>
        <v>-1.62</v>
      </c>
      <c r="I26" s="31">
        <f ca="1">6.79*OFFSET(I$112,MATCH($N$1,$C$112:$C$113,0)-1,0)</f>
        <v>6.79</v>
      </c>
      <c r="J26" s="31">
        <f ca="1">12.64*OFFSET(J$112,MATCH($N$1,$C$112:$C$113,0)-1,0)</f>
        <v>12.64</v>
      </c>
      <c r="K26" s="31">
        <f ca="1">3.55*OFFSET(K$112,MATCH($N$1,$C$112:$C$113,0)-1,0)</f>
        <v>3.55</v>
      </c>
      <c r="L26" s="31">
        <f ca="1">-2.34*OFFSET(L$112,MATCH($N$1,$C$112:$C$113,0)-1,0)</f>
        <v>-2.34</v>
      </c>
      <c r="M26" s="31">
        <f ca="1">-4.88*OFFSET(M$112,MATCH($N$1,$C$112:$C$113,0)-1,0)</f>
        <v>-4.88</v>
      </c>
      <c r="N26" s="31">
        <v>-19.07</v>
      </c>
      <c r="O26" s="32">
        <f t="shared" ca="1" si="0"/>
        <v>-3.655988857938719</v>
      </c>
      <c r="P26" s="32">
        <f t="shared" ca="1" si="1"/>
        <v>-2.5087025316455698</v>
      </c>
    </row>
    <row r="27" spans="1:16" ht="18" customHeight="1">
      <c r="A27" s="166" t="s">
        <v>202</v>
      </c>
      <c r="B27" s="33" t="s">
        <v>193</v>
      </c>
      <c r="C27" s="34"/>
      <c r="D27" s="34">
        <f ca="1">2182.2*OFFSET(D$112,MATCH($N$1,$C$112:$C$113,0)-1,0)</f>
        <v>2182.1999999999998</v>
      </c>
      <c r="E27" s="34">
        <f ca="1">2235.6*OFFSET(E$112,MATCH($N$1,$C$112:$C$113,0)-1,0)</f>
        <v>2235.6</v>
      </c>
      <c r="F27" s="34">
        <f ca="1">2244.7*OFFSET(F$112,MATCH($N$1,$C$112:$C$113,0)-1,0)</f>
        <v>2244.6999999999998</v>
      </c>
      <c r="G27" s="34">
        <f ca="1">1865.6*OFFSET(G$112,MATCH($N$1,$C$112:$C$113,0)-1,0)</f>
        <v>1865.6</v>
      </c>
      <c r="H27" s="34">
        <f ca="1">1837.9*OFFSET(H$112,MATCH($N$1,$C$112:$C$113,0)-1,0)</f>
        <v>1837.9</v>
      </c>
      <c r="I27" s="34">
        <f ca="1">2145.8*OFFSET(I$112,MATCH($N$1,$C$112:$C$113,0)-1,0)</f>
        <v>2145.8000000000002</v>
      </c>
      <c r="J27" s="34">
        <f ca="1">2555.4*OFFSET(J$112,MATCH($N$1,$C$112:$C$113,0)-1,0)</f>
        <v>2555.4</v>
      </c>
      <c r="K27" s="34">
        <f ca="1">1640.2*OFFSET(K$112,MATCH($N$1,$C$112:$C$113,0)-1,0)</f>
        <v>1640.2</v>
      </c>
      <c r="L27" s="34">
        <f ca="1">1828.5*OFFSET(L$112,MATCH($N$1,$C$112:$C$113,0)-1,0)</f>
        <v>1828.5</v>
      </c>
      <c r="M27" s="34">
        <f ca="1">1416*OFFSET(M$112,MATCH($N$1,$C$112:$C$113,0)-1,0)</f>
        <v>1416</v>
      </c>
      <c r="N27" s="34">
        <v>711.5</v>
      </c>
      <c r="O27" s="28">
        <f t="shared" ca="1" si="0"/>
        <v>-0.67395289157730731</v>
      </c>
      <c r="P27" s="28">
        <f t="shared" ca="1" si="1"/>
        <v>-0.72157000860921972</v>
      </c>
    </row>
    <row r="28" spans="1:16" ht="18" customHeight="1">
      <c r="A28" s="178"/>
      <c r="B28" s="35" t="s">
        <v>203</v>
      </c>
      <c r="C28" s="31"/>
      <c r="D28" s="31">
        <f ca="1">6.4*OFFSET(D$112,MATCH($N$1,$C$112:$C$113,0)-1,0)</f>
        <v>6.4</v>
      </c>
      <c r="E28" s="31">
        <f ca="1">6.6*OFFSET(E$112,MATCH($N$1,$C$112:$C$113,0)-1,0)</f>
        <v>6.6</v>
      </c>
      <c r="F28" s="31">
        <f ca="1">6.6*OFFSET(F$112,MATCH($N$1,$C$112:$C$113,0)-1,0)</f>
        <v>6.6</v>
      </c>
      <c r="G28" s="31">
        <f ca="1">25.1*OFFSET(G$112,MATCH($N$1,$C$112:$C$113,0)-1,0)</f>
        <v>25.1</v>
      </c>
      <c r="H28" s="31">
        <f ca="1">7.6*OFFSET(H$112,MATCH($N$1,$C$112:$C$113,0)-1,0)</f>
        <v>7.6</v>
      </c>
      <c r="I28" s="31">
        <f ca="1">65.4*OFFSET(I$112,MATCH($N$1,$C$112:$C$113,0)-1,0)</f>
        <v>65.400000000000006</v>
      </c>
      <c r="J28" s="31">
        <f ca="1">26.2*OFFSET(J$112,MATCH($N$1,$C$112:$C$113,0)-1,0)</f>
        <v>26.2</v>
      </c>
      <c r="K28" s="31">
        <f ca="1">50*OFFSET(K$112,MATCH($N$1,$C$112:$C$113,0)-1,0)</f>
        <v>50</v>
      </c>
      <c r="L28" s="31">
        <f ca="1">314.6*OFFSET(L$112,MATCH($N$1,$C$112:$C$113,0)-1,0)</f>
        <v>314.60000000000002</v>
      </c>
      <c r="M28" s="31">
        <f ca="1">43.2*OFFSET(M$112,MATCH($N$1,$C$112:$C$113,0)-1,0)</f>
        <v>43.2</v>
      </c>
      <c r="N28" s="31">
        <v>21.7</v>
      </c>
      <c r="O28" s="28">
        <f t="shared" ca="1" si="0"/>
        <v>2.3906249999999996</v>
      </c>
      <c r="P28" s="28">
        <f t="shared" ca="1" si="1"/>
        <v>-0.1717557251908397</v>
      </c>
    </row>
    <row r="29" spans="1:16" ht="18" customHeight="1">
      <c r="A29" s="178"/>
      <c r="B29" s="40" t="s">
        <v>204</v>
      </c>
      <c r="C29" s="41"/>
      <c r="D29" s="41">
        <f ca="1">2188.6*OFFSET(D$112,MATCH($N$1,$C$112:$C$113,0)-1,0)</f>
        <v>2188.6</v>
      </c>
      <c r="E29" s="41">
        <f ca="1">2242.2*OFFSET(E$112,MATCH($N$1,$C$112:$C$113,0)-1,0)</f>
        <v>2242.1999999999998</v>
      </c>
      <c r="F29" s="41">
        <f ca="1">2251.3*OFFSET(F$112,MATCH($N$1,$C$112:$C$113,0)-1,0)</f>
        <v>2251.3000000000002</v>
      </c>
      <c r="G29" s="41">
        <f ca="1">1890.7*OFFSET(G$112,MATCH($N$1,$C$112:$C$113,0)-1,0)</f>
        <v>1890.7</v>
      </c>
      <c r="H29" s="41">
        <f ca="1">1845.5*OFFSET(H$112,MATCH($N$1,$C$112:$C$113,0)-1,0)</f>
        <v>1845.5</v>
      </c>
      <c r="I29" s="41">
        <f ca="1">2211.3*OFFSET(I$112,MATCH($N$1,$C$112:$C$113,0)-1,0)</f>
        <v>2211.3000000000002</v>
      </c>
      <c r="J29" s="41">
        <f ca="1">2581.5*OFFSET(J$112,MATCH($N$1,$C$112:$C$113,0)-1,0)</f>
        <v>2581.5</v>
      </c>
      <c r="K29" s="41">
        <f ca="1">1690.2*OFFSET(K$112,MATCH($N$1,$C$112:$C$113,0)-1,0)</f>
        <v>1690.2</v>
      </c>
      <c r="L29" s="41">
        <f ca="1">2143.1*OFFSET(L$112,MATCH($N$1,$C$112:$C$113,0)-1,0)</f>
        <v>2143.1</v>
      </c>
      <c r="M29" s="41">
        <f ca="1">1459.2*OFFSET(M$112,MATCH($N$1,$C$112:$C$113,0)-1,0)</f>
        <v>1459.2</v>
      </c>
      <c r="N29" s="41">
        <v>733.2</v>
      </c>
      <c r="O29" s="28">
        <f t="shared" ca="1" si="0"/>
        <v>-0.66499131865119254</v>
      </c>
      <c r="P29" s="28">
        <f t="shared" ca="1" si="1"/>
        <v>-0.71597908192911097</v>
      </c>
    </row>
    <row r="30" spans="1:16" ht="18" customHeight="1">
      <c r="A30" s="178"/>
      <c r="B30" s="35" t="s">
        <v>205</v>
      </c>
      <c r="C30" s="31"/>
      <c r="D30" s="31">
        <f ca="1">755*OFFSET(D$112,MATCH($N$1,$C$112:$C$113,0)-1,0)</f>
        <v>755</v>
      </c>
      <c r="E30" s="31">
        <f ca="1">908.5*OFFSET(E$112,MATCH($N$1,$C$112:$C$113,0)-1,0)</f>
        <v>908.5</v>
      </c>
      <c r="F30" s="31">
        <f ca="1">957.3*OFFSET(F$112,MATCH($N$1,$C$112:$C$113,0)-1,0)</f>
        <v>957.3</v>
      </c>
      <c r="G30" s="31">
        <f ca="1">996.9*OFFSET(G$112,MATCH($N$1,$C$112:$C$113,0)-1,0)</f>
        <v>996.9</v>
      </c>
      <c r="H30" s="31">
        <f ca="1">851.5*OFFSET(H$112,MATCH($N$1,$C$112:$C$113,0)-1,0)</f>
        <v>851.5</v>
      </c>
      <c r="I30" s="31">
        <f ca="1">606*OFFSET(I$112,MATCH($N$1,$C$112:$C$113,0)-1,0)</f>
        <v>606</v>
      </c>
      <c r="J30" s="31">
        <f ca="1">606.3*OFFSET(J$112,MATCH($N$1,$C$112:$C$113,0)-1,0)</f>
        <v>606.29999999999995</v>
      </c>
      <c r="K30" s="31">
        <f ca="1">568.4*OFFSET(K$112,MATCH($N$1,$C$112:$C$113,0)-1,0)</f>
        <v>568.4</v>
      </c>
      <c r="L30" s="31">
        <f ca="1">850.4*OFFSET(L$112,MATCH($N$1,$C$112:$C$113,0)-1,0)</f>
        <v>850.4</v>
      </c>
      <c r="M30" s="31">
        <f ca="1">869.2*OFFSET(M$112,MATCH($N$1,$C$112:$C$113,0)-1,0)</f>
        <v>869.2</v>
      </c>
      <c r="N30" s="31">
        <v>613.4</v>
      </c>
      <c r="O30" s="28">
        <f t="shared" ca="1" si="0"/>
        <v>-0.18754966887417221</v>
      </c>
      <c r="P30" s="28">
        <f t="shared" ca="1" si="1"/>
        <v>1.1710374402111205E-2</v>
      </c>
    </row>
    <row r="31" spans="1:16" ht="18" customHeight="1">
      <c r="A31" s="178"/>
      <c r="B31" s="35" t="s">
        <v>206</v>
      </c>
      <c r="C31" s="31"/>
      <c r="D31" s="31">
        <f ca="1">305.2*OFFSET(D$112,MATCH($N$1,$C$112:$C$113,0)-1,0)</f>
        <v>305.2</v>
      </c>
      <c r="E31" s="31">
        <f ca="1">260.4*OFFSET(E$112,MATCH($N$1,$C$112:$C$113,0)-1,0)</f>
        <v>260.39999999999998</v>
      </c>
      <c r="F31" s="31">
        <f ca="1">244*OFFSET(F$112,MATCH($N$1,$C$112:$C$113,0)-1,0)</f>
        <v>244</v>
      </c>
      <c r="G31" s="31">
        <f ca="1">198.8*OFFSET(G$112,MATCH($N$1,$C$112:$C$113,0)-1,0)</f>
        <v>198.8</v>
      </c>
      <c r="H31" s="31">
        <f ca="1">266.7*OFFSET(H$112,MATCH($N$1,$C$112:$C$113,0)-1,0)</f>
        <v>266.7</v>
      </c>
      <c r="I31" s="31">
        <f ca="1">468.9*OFFSET(I$112,MATCH($N$1,$C$112:$C$113,0)-1,0)</f>
        <v>468.9</v>
      </c>
      <c r="J31" s="31">
        <f ca="1">589.5*OFFSET(J$112,MATCH($N$1,$C$112:$C$113,0)-1,0)</f>
        <v>589.5</v>
      </c>
      <c r="K31" s="31">
        <f ca="1">305.1*OFFSET(K$112,MATCH($N$1,$C$112:$C$113,0)-1,0)</f>
        <v>305.10000000000002</v>
      </c>
      <c r="L31" s="31">
        <f ca="1">375.2*OFFSET(L$112,MATCH($N$1,$C$112:$C$113,0)-1,0)</f>
        <v>375.2</v>
      </c>
      <c r="M31" s="31">
        <f ca="1">71.6*OFFSET(M$112,MATCH($N$1,$C$112:$C$113,0)-1,0)</f>
        <v>71.599999999999994</v>
      </c>
      <c r="N31" s="31">
        <v>155.5</v>
      </c>
      <c r="O31" s="28">
        <f t="shared" ca="1" si="0"/>
        <v>-0.49049803407601572</v>
      </c>
      <c r="P31" s="28">
        <f t="shared" ca="1" si="1"/>
        <v>-0.73621713316369808</v>
      </c>
    </row>
    <row r="32" spans="1:16" ht="18" customHeight="1">
      <c r="A32" s="178"/>
      <c r="B32" s="35" t="s">
        <v>207</v>
      </c>
      <c r="C32" s="31"/>
      <c r="D32" s="31">
        <f ca="1">638.9*OFFSET(D$112,MATCH($N$1,$C$112:$C$113,0)-1,0)</f>
        <v>638.9</v>
      </c>
      <c r="E32" s="31">
        <f ca="1">617.5*OFFSET(E$112,MATCH($N$1,$C$112:$C$113,0)-1,0)</f>
        <v>617.5</v>
      </c>
      <c r="F32" s="31">
        <f ca="1">687.3*OFFSET(F$112,MATCH($N$1,$C$112:$C$113,0)-1,0)</f>
        <v>687.3</v>
      </c>
      <c r="G32" s="31">
        <f ca="1">496.8*OFFSET(G$112,MATCH($N$1,$C$112:$C$113,0)-1,0)</f>
        <v>496.8</v>
      </c>
      <c r="H32" s="31">
        <f ca="1">485.9*OFFSET(H$112,MATCH($N$1,$C$112:$C$113,0)-1,0)</f>
        <v>485.9</v>
      </c>
      <c r="I32" s="31">
        <f ca="1">614.7*OFFSET(I$112,MATCH($N$1,$C$112:$C$113,0)-1,0)</f>
        <v>614.70000000000005</v>
      </c>
      <c r="J32" s="31">
        <f ca="1">421.7*OFFSET(J$112,MATCH($N$1,$C$112:$C$113,0)-1,0)</f>
        <v>421.7</v>
      </c>
      <c r="K32" s="31">
        <f ca="1">469.8*OFFSET(K$112,MATCH($N$1,$C$112:$C$113,0)-1,0)</f>
        <v>469.8</v>
      </c>
      <c r="L32" s="31">
        <f ca="1">730.7*OFFSET(L$112,MATCH($N$1,$C$112:$C$113,0)-1,0)</f>
        <v>730.7</v>
      </c>
      <c r="M32" s="31">
        <f ca="1">405.6*OFFSET(M$112,MATCH($N$1,$C$112:$C$113,0)-1,0)</f>
        <v>405.6</v>
      </c>
      <c r="N32" s="31">
        <v>203.8</v>
      </c>
      <c r="O32" s="28">
        <f t="shared" ca="1" si="0"/>
        <v>-0.68101424323055249</v>
      </c>
      <c r="P32" s="28">
        <f t="shared" ca="1" si="1"/>
        <v>-0.51671804600426841</v>
      </c>
    </row>
    <row r="33" spans="1:16" ht="18" customHeight="1">
      <c r="A33" s="178"/>
      <c r="B33" s="35" t="s">
        <v>208</v>
      </c>
      <c r="C33" s="31"/>
      <c r="D33" s="31">
        <f ca="1">1699.1*OFFSET(D$112,MATCH($N$1,$C$112:$C$113,0)-1,0)</f>
        <v>1699.1</v>
      </c>
      <c r="E33" s="31">
        <f ca="1">1786.4*OFFSET(E$112,MATCH($N$1,$C$112:$C$113,0)-1,0)</f>
        <v>1786.4</v>
      </c>
      <c r="F33" s="31">
        <f ca="1">1888.7*OFFSET(F$112,MATCH($N$1,$C$112:$C$113,0)-1,0)</f>
        <v>1888.7</v>
      </c>
      <c r="G33" s="31">
        <f ca="1">1692.5*OFFSET(G$112,MATCH($N$1,$C$112:$C$113,0)-1,0)</f>
        <v>1692.5</v>
      </c>
      <c r="H33" s="31">
        <f ca="1">1604.1*OFFSET(H$112,MATCH($N$1,$C$112:$C$113,0)-1,0)</f>
        <v>1604.1</v>
      </c>
      <c r="I33" s="31">
        <f ca="1">1689.6*OFFSET(I$112,MATCH($N$1,$C$112:$C$113,0)-1,0)</f>
        <v>1689.6</v>
      </c>
      <c r="J33" s="31">
        <f ca="1">1617.4*OFFSET(J$112,MATCH($N$1,$C$112:$C$113,0)-1,0)</f>
        <v>1617.4</v>
      </c>
      <c r="K33" s="31">
        <f ca="1">1343.3*OFFSET(K$112,MATCH($N$1,$C$112:$C$113,0)-1,0)</f>
        <v>1343.3</v>
      </c>
      <c r="L33" s="31">
        <f ca="1">1956.3*OFFSET(L$112,MATCH($N$1,$C$112:$C$113,0)-1,0)</f>
        <v>1956.3</v>
      </c>
      <c r="M33" s="31">
        <f ca="1">1346.4*OFFSET(M$112,MATCH($N$1,$C$112:$C$113,0)-1,0)</f>
        <v>1346.4</v>
      </c>
      <c r="N33" s="31">
        <v>972.7</v>
      </c>
      <c r="O33" s="28">
        <f t="shared" ca="1" si="0"/>
        <v>-0.42752045200400207</v>
      </c>
      <c r="P33" s="28">
        <f t="shared" ca="1" si="1"/>
        <v>-0.3986026956844318</v>
      </c>
    </row>
    <row r="34" spans="1:16" ht="18" customHeight="1">
      <c r="A34" s="178"/>
      <c r="B34" s="35" t="s">
        <v>209</v>
      </c>
      <c r="C34" s="31"/>
      <c r="D34" s="31">
        <f ca="1">333.1*OFFSET(D$112,MATCH($N$1,$C$112:$C$113,0)-1,0)</f>
        <v>333.1</v>
      </c>
      <c r="E34" s="31">
        <f ca="1">322*OFFSET(E$112,MATCH($N$1,$C$112:$C$113,0)-1,0)</f>
        <v>322</v>
      </c>
      <c r="F34" s="31">
        <f ca="1">358.4*OFFSET(F$112,MATCH($N$1,$C$112:$C$113,0)-1,0)</f>
        <v>358.4</v>
      </c>
      <c r="G34" s="31">
        <f ca="1">300.7*OFFSET(G$112,MATCH($N$1,$C$112:$C$113,0)-1,0)</f>
        <v>300.7</v>
      </c>
      <c r="H34" s="31">
        <f ca="1">277.7*OFFSET(H$112,MATCH($N$1,$C$112:$C$113,0)-1,0)</f>
        <v>277.7</v>
      </c>
      <c r="I34" s="31">
        <f ca="1">364.1*OFFSET(I$112,MATCH($N$1,$C$112:$C$113,0)-1,0)</f>
        <v>364.1</v>
      </c>
      <c r="J34" s="31">
        <f ca="1">641.5*OFFSET(J$112,MATCH($N$1,$C$112:$C$113,0)-1,0)</f>
        <v>641.5</v>
      </c>
      <c r="K34" s="31">
        <f ca="1">278.3*OFFSET(K$112,MATCH($N$1,$C$112:$C$113,0)-1,0)</f>
        <v>278.3</v>
      </c>
      <c r="L34" s="31">
        <f ca="1">245*OFFSET(L$112,MATCH($N$1,$C$112:$C$113,0)-1,0)</f>
        <v>245</v>
      </c>
      <c r="M34" s="31">
        <f ca="1">240.3*OFFSET(M$112,MATCH($N$1,$C$112:$C$113,0)-1,0)</f>
        <v>240.3</v>
      </c>
      <c r="N34" s="31">
        <v>226.9</v>
      </c>
      <c r="O34" s="28">
        <f t="shared" ca="1" si="0"/>
        <v>-0.31882317622335637</v>
      </c>
      <c r="P34" s="28">
        <f t="shared" ca="1" si="1"/>
        <v>-0.64629773967264226</v>
      </c>
    </row>
    <row r="35" spans="1:16" ht="18" customHeight="1">
      <c r="A35" s="178"/>
      <c r="B35" s="35" t="s">
        <v>210</v>
      </c>
      <c r="C35" s="31"/>
      <c r="D35" s="31">
        <f ca="1">2032.2*OFFSET(D$112,MATCH($N$1,$C$112:$C$113,0)-1,0)</f>
        <v>2032.2</v>
      </c>
      <c r="E35" s="31">
        <f ca="1">2108.4*OFFSET(E$112,MATCH($N$1,$C$112:$C$113,0)-1,0)</f>
        <v>2108.4</v>
      </c>
      <c r="F35" s="31">
        <f ca="1">2247.1*OFFSET(F$112,MATCH($N$1,$C$112:$C$113,0)-1,0)</f>
        <v>2247.1</v>
      </c>
      <c r="G35" s="31">
        <f ca="1">1993.2*OFFSET(G$112,MATCH($N$1,$C$112:$C$113,0)-1,0)</f>
        <v>1993.2</v>
      </c>
      <c r="H35" s="31">
        <f ca="1">1881.8*OFFSET(H$112,MATCH($N$1,$C$112:$C$113,0)-1,0)</f>
        <v>1881.8</v>
      </c>
      <c r="I35" s="31">
        <f ca="1">2053.7*OFFSET(I$112,MATCH($N$1,$C$112:$C$113,0)-1,0)</f>
        <v>2053.6999999999998</v>
      </c>
      <c r="J35" s="31">
        <f ca="1">2258.9*OFFSET(J$112,MATCH($N$1,$C$112:$C$113,0)-1,0)</f>
        <v>2258.9</v>
      </c>
      <c r="K35" s="31">
        <f ca="1">1621.6*OFFSET(K$112,MATCH($N$1,$C$112:$C$113,0)-1,0)</f>
        <v>1621.6</v>
      </c>
      <c r="L35" s="31">
        <f ca="1">2201.3*OFFSET(L$112,MATCH($N$1,$C$112:$C$113,0)-1,0)</f>
        <v>2201.3000000000002</v>
      </c>
      <c r="M35" s="31">
        <f ca="1">1586.6*OFFSET(M$112,MATCH($N$1,$C$112:$C$113,0)-1,0)</f>
        <v>1586.6</v>
      </c>
      <c r="N35" s="31">
        <v>1199.5</v>
      </c>
      <c r="O35" s="28">
        <f t="shared" ca="1" si="0"/>
        <v>-0.40975297706918612</v>
      </c>
      <c r="P35" s="28">
        <f t="shared" ca="1" si="1"/>
        <v>-0.46898933109035373</v>
      </c>
    </row>
    <row r="36" spans="1:16" ht="18" customHeight="1">
      <c r="A36" s="178"/>
      <c r="B36" s="40" t="s">
        <v>211</v>
      </c>
      <c r="C36" s="41"/>
      <c r="D36" s="41">
        <f ca="1">461.7*OFFSET(D$112,MATCH($N$1,$C$112:$C$113,0)-1,0)</f>
        <v>461.7</v>
      </c>
      <c r="E36" s="41">
        <f ca="1">394.2*OFFSET(E$112,MATCH($N$1,$C$112:$C$113,0)-1,0)</f>
        <v>394.2</v>
      </c>
      <c r="F36" s="41">
        <f ca="1">248.3*OFFSET(F$112,MATCH($N$1,$C$112:$C$113,0)-1,0)</f>
        <v>248.3</v>
      </c>
      <c r="G36" s="41">
        <f ca="1">96.3*OFFSET(G$112,MATCH($N$1,$C$112:$C$113,0)-1,0)</f>
        <v>96.3</v>
      </c>
      <c r="H36" s="41">
        <f ca="1">230.4*OFFSET(H$112,MATCH($N$1,$C$112:$C$113,0)-1,0)</f>
        <v>230.4</v>
      </c>
      <c r="I36" s="41">
        <f ca="1">626.5*OFFSET(I$112,MATCH($N$1,$C$112:$C$113,0)-1,0)</f>
        <v>626.5</v>
      </c>
      <c r="J36" s="41">
        <f ca="1">912.1*OFFSET(J$112,MATCH($N$1,$C$112:$C$113,0)-1,0)</f>
        <v>912.1</v>
      </c>
      <c r="K36" s="41">
        <f ca="1">373.7*OFFSET(K$112,MATCH($N$1,$C$112:$C$113,0)-1,0)</f>
        <v>373.7</v>
      </c>
      <c r="L36" s="41">
        <f ca="1">317*OFFSET(L$112,MATCH($N$1,$C$112:$C$113,0)-1,0)</f>
        <v>317</v>
      </c>
      <c r="M36" s="41">
        <f ca="1">-55.9*OFFSET(M$112,MATCH($N$1,$C$112:$C$113,0)-1,0)</f>
        <v>-55.9</v>
      </c>
      <c r="N36" s="41">
        <v>-310.8</v>
      </c>
      <c r="O36" s="28">
        <f t="shared" ca="1" si="0"/>
        <v>-1.673164392462638</v>
      </c>
      <c r="P36" s="28">
        <f t="shared" ca="1" si="1"/>
        <v>-1.3407521105141982</v>
      </c>
    </row>
    <row r="37" spans="1:16" ht="18" customHeight="1">
      <c r="A37" s="178"/>
      <c r="B37" s="40" t="s">
        <v>212</v>
      </c>
      <c r="C37" s="41"/>
      <c r="D37" s="41">
        <f ca="1">156.5*OFFSET(D$112,MATCH($N$1,$C$112:$C$113,0)-1,0)</f>
        <v>156.5</v>
      </c>
      <c r="E37" s="41">
        <f ca="1">133.8*OFFSET(E$112,MATCH($N$1,$C$112:$C$113,0)-1,0)</f>
        <v>133.80000000000001</v>
      </c>
      <c r="F37" s="41">
        <f ca="1">4.3*OFFSET(F$112,MATCH($N$1,$C$112:$C$113,0)-1,0)</f>
        <v>4.3</v>
      </c>
      <c r="G37" s="41">
        <f ca="1">-102.5*OFFSET(G$112,MATCH($N$1,$C$112:$C$113,0)-1,0)</f>
        <v>-102.5</v>
      </c>
      <c r="H37" s="41">
        <f ca="1">-36.3*OFFSET(H$112,MATCH($N$1,$C$112:$C$113,0)-1,0)</f>
        <v>-36.299999999999997</v>
      </c>
      <c r="I37" s="41">
        <f ca="1">157.6*OFFSET(I$112,MATCH($N$1,$C$112:$C$113,0)-1,0)</f>
        <v>157.6</v>
      </c>
      <c r="J37" s="41">
        <f ca="1">322.6*OFFSET(J$112,MATCH($N$1,$C$112:$C$113,0)-1,0)</f>
        <v>322.60000000000002</v>
      </c>
      <c r="K37" s="41">
        <f ca="1">68.6*OFFSET(K$112,MATCH($N$1,$C$112:$C$113,0)-1,0)</f>
        <v>68.599999999999994</v>
      </c>
      <c r="L37" s="41">
        <f ca="1">-58.2*OFFSET(L$112,MATCH($N$1,$C$112:$C$113,0)-1,0)</f>
        <v>-58.2</v>
      </c>
      <c r="M37" s="41">
        <f ca="1">-127.5*OFFSET(M$112,MATCH($N$1,$C$112:$C$113,0)-1,0)</f>
        <v>-127.5</v>
      </c>
      <c r="N37" s="41">
        <v>-466.3</v>
      </c>
      <c r="O37" s="28">
        <f t="shared" ca="1" si="0"/>
        <v>-3.9795527156549517</v>
      </c>
      <c r="P37" s="28">
        <f t="shared" ca="1" si="1"/>
        <v>-2.4454432734035958</v>
      </c>
    </row>
    <row r="38" spans="1:16" ht="18" customHeight="1">
      <c r="A38" s="178"/>
      <c r="B38" s="35" t="s">
        <v>213</v>
      </c>
      <c r="C38" s="31"/>
      <c r="D38" s="31">
        <f ca="1">97.5*OFFSET(D$112,MATCH($N$1,$C$112:$C$113,0)-1,0)</f>
        <v>97.5</v>
      </c>
      <c r="E38" s="31">
        <f ca="1">129.7*OFFSET(E$112,MATCH($N$1,$C$112:$C$113,0)-1,0)</f>
        <v>129.69999999999999</v>
      </c>
      <c r="F38" s="31">
        <f ca="1">120.5*OFFSET(F$112,MATCH($N$1,$C$112:$C$113,0)-1,0)</f>
        <v>120.5</v>
      </c>
      <c r="G38" s="31">
        <f ca="1">109.4*OFFSET(G$112,MATCH($N$1,$C$112:$C$113,0)-1,0)</f>
        <v>109.4</v>
      </c>
      <c r="H38" s="31">
        <f ca="1">217.1*OFFSET(H$112,MATCH($N$1,$C$112:$C$113,0)-1,0)</f>
        <v>217.1</v>
      </c>
      <c r="I38" s="31">
        <f ca="1">163.8*OFFSET(I$112,MATCH($N$1,$C$112:$C$113,0)-1,0)</f>
        <v>163.80000000000001</v>
      </c>
      <c r="J38" s="31">
        <f ca="1">228.9*OFFSET(J$112,MATCH($N$1,$C$112:$C$113,0)-1,0)</f>
        <v>228.9</v>
      </c>
      <c r="K38" s="31"/>
      <c r="L38" s="31"/>
      <c r="M38" s="31"/>
      <c r="N38" s="31"/>
      <c r="O38" s="28" t="str">
        <f t="shared" si="0"/>
        <v/>
      </c>
      <c r="P38" s="28" t="str">
        <f t="shared" si="1"/>
        <v/>
      </c>
    </row>
    <row r="39" spans="1:16" ht="18" customHeight="1">
      <c r="A39" s="178"/>
      <c r="B39" s="35" t="s">
        <v>214</v>
      </c>
      <c r="C39" s="31"/>
      <c r="D39" s="31">
        <f ca="1">80.7*OFFSET(D$112,MATCH($N$1,$C$112:$C$113,0)-1,0)</f>
        <v>80.7</v>
      </c>
      <c r="E39" s="31">
        <f ca="1">102.5*OFFSET(E$112,MATCH($N$1,$C$112:$C$113,0)-1,0)</f>
        <v>102.5</v>
      </c>
      <c r="F39" s="31">
        <f ca="1">92.2*OFFSET(F$112,MATCH($N$1,$C$112:$C$113,0)-1,0)</f>
        <v>92.2</v>
      </c>
      <c r="G39" s="31">
        <f ca="1">12*OFFSET(G$112,MATCH($N$1,$C$112:$C$113,0)-1,0)</f>
        <v>12</v>
      </c>
      <c r="H39" s="31">
        <f ca="1">4.6*OFFSET(H$112,MATCH($N$1,$C$112:$C$113,0)-1,0)</f>
        <v>4.5999999999999996</v>
      </c>
      <c r="I39" s="31">
        <f ca="1">58.6*OFFSET(I$112,MATCH($N$1,$C$112:$C$113,0)-1,0)</f>
        <v>58.6</v>
      </c>
      <c r="J39" s="31">
        <f ca="1">73.6*OFFSET(J$112,MATCH($N$1,$C$112:$C$113,0)-1,0)</f>
        <v>73.599999999999994</v>
      </c>
      <c r="K39" s="31"/>
      <c r="L39" s="31">
        <f ca="1">416.1*OFFSET(L$112,MATCH($N$1,$C$112:$C$113,0)-1,0)</f>
        <v>416.1</v>
      </c>
      <c r="M39" s="31"/>
      <c r="N39" s="31"/>
      <c r="O39" s="28" t="str">
        <f t="shared" si="0"/>
        <v/>
      </c>
      <c r="P39" s="28" t="str">
        <f t="shared" si="1"/>
        <v/>
      </c>
    </row>
    <row r="40" spans="1:16" ht="18" customHeight="1">
      <c r="A40" s="178"/>
      <c r="B40" s="35" t="s">
        <v>215</v>
      </c>
      <c r="C40" s="31"/>
      <c r="D40" s="31"/>
      <c r="E40" s="31"/>
      <c r="F40" s="31"/>
      <c r="G40" s="31">
        <f ca="1">12*OFFSET(G$112,MATCH($N$1,$C$112:$C$113,0)-1,0)</f>
        <v>12</v>
      </c>
      <c r="H40" s="31">
        <f ca="1">4.6*OFFSET(H$112,MATCH($N$1,$C$112:$C$113,0)-1,0)</f>
        <v>4.5999999999999996</v>
      </c>
      <c r="I40" s="31">
        <f ca="1">70.3*OFFSET(I$112,MATCH($N$1,$C$112:$C$113,0)-1,0)</f>
        <v>70.3</v>
      </c>
      <c r="J40" s="31">
        <f ca="1">29.7*OFFSET(J$112,MATCH($N$1,$C$112:$C$113,0)-1,0)</f>
        <v>29.7</v>
      </c>
      <c r="K40" s="31"/>
      <c r="L40" s="31"/>
      <c r="M40" s="31"/>
      <c r="N40" s="31"/>
      <c r="O40" s="28" t="str">
        <f t="shared" si="0"/>
        <v/>
      </c>
      <c r="P40" s="28" t="str">
        <f t="shared" si="1"/>
        <v/>
      </c>
    </row>
    <row r="41" spans="1:16" ht="18" customHeight="1" thickBot="1">
      <c r="A41" s="179"/>
      <c r="B41" s="42" t="s">
        <v>216</v>
      </c>
      <c r="C41" s="43"/>
      <c r="D41" s="43">
        <f ca="1">-21.7*OFFSET(D$112,MATCH($N$1,$C$112:$C$113,0)-1,0)</f>
        <v>-21.7</v>
      </c>
      <c r="E41" s="43">
        <f ca="1">-98.4*OFFSET(E$112,MATCH($N$1,$C$112:$C$113,0)-1,0)</f>
        <v>-98.4</v>
      </c>
      <c r="F41" s="43">
        <f ca="1">-208.4*OFFSET(F$112,MATCH($N$1,$C$112:$C$113,0)-1,0)</f>
        <v>-208.4</v>
      </c>
      <c r="G41" s="43">
        <f ca="1">-236*OFFSET(G$112,MATCH($N$1,$C$112:$C$113,0)-1,0)</f>
        <v>-236</v>
      </c>
      <c r="H41" s="43">
        <f ca="1">-262.6*OFFSET(H$112,MATCH($N$1,$C$112:$C$113,0)-1,0)</f>
        <v>-262.60000000000002</v>
      </c>
      <c r="I41" s="43">
        <f ca="1">-135.1*OFFSET(I$112,MATCH($N$1,$C$112:$C$113,0)-1,0)</f>
        <v>-135.1</v>
      </c>
      <c r="J41" s="43">
        <f ca="1">-9.5*OFFSET(J$112,MATCH($N$1,$C$112:$C$113,0)-1,0)</f>
        <v>-9.5</v>
      </c>
      <c r="K41" s="43"/>
      <c r="L41" s="43">
        <f ca="1">-474.3*OFFSET(L$112,MATCH($N$1,$C$112:$C$113,0)-1,0)</f>
        <v>-474.3</v>
      </c>
      <c r="M41" s="43"/>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163</v>
      </c>
      <c r="F46" s="90" t="s">
        <v>158</v>
      </c>
      <c r="G46" s="90" t="s">
        <v>163</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North Sea beam trawl over 300kW</v>
      </c>
      <c r="B48" s="202"/>
      <c r="C48" s="92"/>
      <c r="D48" s="92"/>
      <c r="E48" s="92"/>
      <c r="F48" s="92"/>
      <c r="G48" s="92"/>
      <c r="H48" s="202"/>
      <c r="I48" s="202"/>
      <c r="J48" s="202"/>
      <c r="K48" s="92" t="str">
        <f>$B24&amp;CHAR(10)&amp;$A$1</f>
        <v>Operating profit per kW day at sea (£)
North Sea beam trawl over 300kW</v>
      </c>
      <c r="L48" s="202"/>
      <c r="M48" s="202"/>
      <c r="N48" s="202"/>
      <c r="O48" s="202"/>
      <c r="P48" s="202"/>
    </row>
    <row r="49" spans="1:11" s="80" customFormat="1">
      <c r="A49" s="92" t="str">
        <f>$B22&amp;CHAR(10)&amp;$A$1</f>
        <v>Fishing income per kW day at sea (£)
North Sea beam trawl over 300kW</v>
      </c>
      <c r="B49" s="202"/>
      <c r="C49" s="202"/>
      <c r="D49" s="202"/>
      <c r="E49" s="202"/>
      <c r="F49" s="202"/>
      <c r="G49" s="202"/>
      <c r="H49" s="202"/>
      <c r="I49" s="202"/>
      <c r="J49" s="202"/>
      <c r="K49" s="202"/>
    </row>
    <row r="50" spans="1:11" s="80" customFormat="1">
      <c r="A50" s="92" t="str">
        <f>$B20&amp;CHAR(10)&amp;$A$1</f>
        <v>Average price per tonne landed (£)
North Sea beam trawl over 300kW</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North Sea beam trawl over 300kW</v>
      </c>
      <c r="C62" s="202"/>
      <c r="D62" s="202"/>
      <c r="E62" s="202"/>
      <c r="F62" s="92" t="str">
        <f>$B20&amp;CHAR(10)&amp;$A$1</f>
        <v>Average price per tonne landed (£)
North Sea beam trawl over 300kW</v>
      </c>
      <c r="G62" s="202"/>
      <c r="H62" s="202"/>
      <c r="I62" s="202"/>
      <c r="J62" s="202"/>
      <c r="K62" s="92" t="str">
        <f>"Average annual operating profit per vessel (£'000)"&amp;CHAR(10)&amp;$A$1</f>
        <v>Average annual operating profit per vessel (£'000)
North Sea beam trawl over 300kW</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North Sea beam trawl over 300kW</v>
      </c>
      <c r="F76" s="92" t="str">
        <f>"Top 5 landed species by value in "&amp;A77&amp;CHAR(10)&amp;A1</f>
        <v>Top 5 landed species by value in 2019
North Sea beam trawl over 300kW</v>
      </c>
    </row>
    <row r="77" spans="1:11" s="92" customFormat="1">
      <c r="A77" s="92">
        <v>2019</v>
      </c>
      <c r="B77" s="92" t="s">
        <v>392</v>
      </c>
      <c r="C77" s="93">
        <v>0.7734870672736025</v>
      </c>
      <c r="D77" s="94">
        <v>12153634</v>
      </c>
      <c r="G77" s="92" t="s">
        <v>393</v>
      </c>
      <c r="H77" s="93">
        <v>0.61413084476037771</v>
      </c>
      <c r="I77" s="94">
        <v>12153634</v>
      </c>
      <c r="K77" s="92" t="s">
        <v>230</v>
      </c>
    </row>
    <row r="78" spans="1:11" s="92" customFormat="1">
      <c r="B78" s="92" t="s">
        <v>394</v>
      </c>
      <c r="C78" s="93">
        <v>4.7918863684803262E-2</v>
      </c>
      <c r="D78" s="94">
        <v>553960</v>
      </c>
      <c r="G78" s="92" t="s">
        <v>395</v>
      </c>
      <c r="H78" s="93">
        <v>0.1870722271052549</v>
      </c>
      <c r="I78" s="94">
        <v>553960</v>
      </c>
    </row>
    <row r="79" spans="1:11" s="92" customFormat="1">
      <c r="B79" s="92" t="s">
        <v>396</v>
      </c>
      <c r="C79" s="93">
        <v>4.0758762755132585E-2</v>
      </c>
      <c r="D79" s="94">
        <v>3050596</v>
      </c>
      <c r="G79" s="92" t="s">
        <v>397</v>
      </c>
      <c r="H79" s="93">
        <v>0.10769929237697697</v>
      </c>
      <c r="I79" s="94">
        <v>3050596</v>
      </c>
    </row>
    <row r="80" spans="1:11" s="92" customFormat="1">
      <c r="B80" s="92" t="s">
        <v>398</v>
      </c>
      <c r="C80" s="93">
        <v>3.7066891255983926E-2</v>
      </c>
      <c r="D80" s="94">
        <v>11115023</v>
      </c>
      <c r="G80" s="92" t="s">
        <v>399</v>
      </c>
      <c r="H80" s="93">
        <v>2.4170106827291728E-2</v>
      </c>
      <c r="I80" s="94">
        <v>1692097</v>
      </c>
    </row>
    <row r="81" spans="1:19" s="92" customFormat="1">
      <c r="B81" s="92" t="s">
        <v>400</v>
      </c>
      <c r="C81" s="93">
        <v>1.9737428801917208E-2</v>
      </c>
      <c r="D81" s="94">
        <v>3689192</v>
      </c>
      <c r="G81" s="92" t="s">
        <v>401</v>
      </c>
      <c r="H81" s="93">
        <v>1.9426790197776714E-2</v>
      </c>
      <c r="I81" s="94">
        <v>3689192</v>
      </c>
    </row>
    <row r="82" spans="1:19" s="92" customFormat="1">
      <c r="B82" s="92" t="s">
        <v>340</v>
      </c>
      <c r="C82" s="93">
        <v>8.1030986228560531E-2</v>
      </c>
      <c r="D82" s="94">
        <v>5920853</v>
      </c>
      <c r="G82" s="92" t="s">
        <v>402</v>
      </c>
      <c r="H82" s="93">
        <v>4.7500738732321968E-2</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168</v>
      </c>
      <c r="D92" s="98">
        <v>0.63808927959269968</v>
      </c>
      <c r="E92" s="98">
        <v>0.76045664686255809</v>
      </c>
      <c r="F92" s="98">
        <v>0.60728518412264054</v>
      </c>
      <c r="G92" s="98">
        <v>0.56732239820548225</v>
      </c>
      <c r="H92" s="98">
        <v>0.61144307623912608</v>
      </c>
      <c r="I92" s="98">
        <v>0.63308344299469987</v>
      </c>
      <c r="J92" s="98">
        <v>0.6324403583566548</v>
      </c>
      <c r="K92" s="98">
        <v>0.58373818731099447</v>
      </c>
      <c r="L92" s="98">
        <v>0.61413084476037771</v>
      </c>
      <c r="M92" s="98">
        <v>0.4363957992722366</v>
      </c>
      <c r="O92" s="92">
        <v>12153634</v>
      </c>
    </row>
    <row r="93" spans="1:19" s="92" customFormat="1" hidden="1">
      <c r="B93" s="92">
        <v>2</v>
      </c>
      <c r="C93" s="92" t="s">
        <v>171</v>
      </c>
      <c r="D93" s="98">
        <v>0.19601702607014657</v>
      </c>
      <c r="E93" s="98">
        <v>0.10865999785301753</v>
      </c>
      <c r="F93" s="98">
        <v>0.21436602156158507</v>
      </c>
      <c r="G93" s="98">
        <v>0.24871472857069629</v>
      </c>
      <c r="H93" s="98">
        <v>0.24349591157324815</v>
      </c>
      <c r="I93" s="98">
        <v>0.21811155627052076</v>
      </c>
      <c r="J93" s="98">
        <v>0.18940823836145826</v>
      </c>
      <c r="K93" s="98">
        <v>0.21201163599933345</v>
      </c>
      <c r="L93" s="98">
        <v>0.1870722271052549</v>
      </c>
      <c r="M93" s="98">
        <v>0.36119298881449063</v>
      </c>
      <c r="O93" s="92">
        <v>553960</v>
      </c>
    </row>
    <row r="94" spans="1:19" s="92" customFormat="1" hidden="1">
      <c r="B94" s="92">
        <v>3</v>
      </c>
      <c r="C94" s="92" t="s">
        <v>286</v>
      </c>
      <c r="D94" s="98">
        <v>8.1393481453667052E-2</v>
      </c>
      <c r="E94" s="98">
        <v>6.389568900357287E-2</v>
      </c>
      <c r="F94" s="98">
        <v>9.1265225932750729E-2</v>
      </c>
      <c r="G94" s="98">
        <v>9.8087758821706089E-2</v>
      </c>
      <c r="H94" s="98">
        <v>6.7248349211095654E-2</v>
      </c>
      <c r="I94" s="98">
        <v>6.9567226968196449E-2</v>
      </c>
      <c r="J94" s="98">
        <v>8.7140264736357012E-2</v>
      </c>
      <c r="K94" s="98">
        <v>0.1053274513389376</v>
      </c>
      <c r="L94" s="98">
        <v>0.10769929237697697</v>
      </c>
      <c r="M94" s="98">
        <v>0.10471601767152863</v>
      </c>
      <c r="O94" s="92">
        <v>3050596</v>
      </c>
    </row>
    <row r="95" spans="1:19" s="92" customFormat="1" hidden="1">
      <c r="B95" s="92">
        <v>4</v>
      </c>
      <c r="C95" s="92" t="s">
        <v>285</v>
      </c>
      <c r="D95" s="98">
        <v>2.348023787220575E-2</v>
      </c>
      <c r="E95" s="98">
        <v>1.6398361953304869E-2</v>
      </c>
      <c r="F95" s="98">
        <v>2.68597304623709E-2</v>
      </c>
      <c r="G95" s="98">
        <v>2.9303678645102822E-2</v>
      </c>
      <c r="H95" s="98">
        <v>2.2720030122114532E-2</v>
      </c>
      <c r="I95" s="98">
        <v>2.5137627751856531E-2</v>
      </c>
      <c r="J95" s="98">
        <v>2.8458328704258972E-2</v>
      </c>
      <c r="K95" s="98">
        <v>3.0585245774404385E-2</v>
      </c>
      <c r="L95" s="98">
        <v>2.4170106827291728E-2</v>
      </c>
      <c r="M95" s="98">
        <v>2.9913993482356332E-2</v>
      </c>
      <c r="O95" s="92">
        <v>1692097</v>
      </c>
    </row>
    <row r="96" spans="1:19" s="92" customFormat="1" hidden="1">
      <c r="B96" s="92">
        <v>5</v>
      </c>
      <c r="C96" s="92" t="s">
        <v>326</v>
      </c>
      <c r="D96" s="98">
        <v>2.8512945550644167E-2</v>
      </c>
      <c r="E96" s="98">
        <v>1.7083189914302514E-2</v>
      </c>
      <c r="F96" s="98">
        <v>2.263898476694105E-2</v>
      </c>
      <c r="G96" s="98">
        <v>2.5202441287532809E-2</v>
      </c>
      <c r="H96" s="98">
        <v>2.7082498270080774E-2</v>
      </c>
      <c r="I96" s="98">
        <v>2.3046375667735031E-2</v>
      </c>
      <c r="J96" s="98">
        <v>2.8785507185359726E-2</v>
      </c>
      <c r="K96" s="98">
        <v>2.1025521728858163E-2</v>
      </c>
      <c r="L96" s="98">
        <v>1.9426790197776714E-2</v>
      </c>
      <c r="M96" s="98"/>
      <c r="O96" s="92">
        <v>3689192</v>
      </c>
    </row>
    <row r="97" spans="1:15" s="92" customFormat="1" hidden="1">
      <c r="B97" s="92">
        <v>6</v>
      </c>
      <c r="C97" s="92" t="s">
        <v>403</v>
      </c>
      <c r="D97" s="98"/>
      <c r="E97" s="98"/>
      <c r="F97" s="98"/>
      <c r="G97" s="98"/>
      <c r="H97" s="98"/>
      <c r="I97" s="98"/>
      <c r="J97" s="98"/>
      <c r="K97" s="98"/>
      <c r="L97" s="98"/>
      <c r="M97" s="98">
        <v>1.4118820812988705E-2</v>
      </c>
      <c r="O97" s="92">
        <v>11115023</v>
      </c>
    </row>
    <row r="98" spans="1:15" s="92" customFormat="1" hidden="1">
      <c r="B98" s="92">
        <v>7</v>
      </c>
      <c r="C98" s="92" t="s">
        <v>245</v>
      </c>
      <c r="D98" s="98">
        <v>3.2507029460636751E-2</v>
      </c>
      <c r="E98" s="98">
        <v>3.350611441324413E-2</v>
      </c>
      <c r="F98" s="98">
        <v>3.7584853153711691E-2</v>
      </c>
      <c r="G98" s="98">
        <v>3.1368994469479793E-2</v>
      </c>
      <c r="H98" s="98">
        <v>2.8010134584334784E-2</v>
      </c>
      <c r="I98" s="98">
        <v>3.105377034699134E-2</v>
      </c>
      <c r="J98" s="98">
        <v>3.3767302655911283E-2</v>
      </c>
      <c r="K98" s="98">
        <v>4.7311957847471942E-2</v>
      </c>
      <c r="L98" s="98">
        <v>4.7500738732321982E-2</v>
      </c>
      <c r="M98" s="98">
        <v>5.3662379946399108E-2</v>
      </c>
      <c r="O98" s="92">
        <v>5920853</v>
      </c>
    </row>
    <row r="99" spans="1:15" s="92" customFormat="1" hidden="1">
      <c r="B99" s="92">
        <v>8</v>
      </c>
      <c r="D99" s="98"/>
      <c r="E99" s="98"/>
      <c r="F99" s="98"/>
      <c r="G99" s="98"/>
      <c r="H99" s="98"/>
      <c r="I99" s="98"/>
      <c r="J99" s="98"/>
      <c r="K99" s="98"/>
      <c r="L99" s="98"/>
      <c r="M99" s="98"/>
      <c r="O99" s="92">
        <v>7434864</v>
      </c>
    </row>
    <row r="100" spans="1:15" s="92" customFormat="1" hidden="1">
      <c r="B100" s="92">
        <v>9</v>
      </c>
      <c r="D100" s="98"/>
      <c r="E100" s="98"/>
      <c r="F100" s="98"/>
      <c r="G100" s="98"/>
      <c r="H100" s="98"/>
      <c r="I100" s="98"/>
      <c r="J100" s="98"/>
      <c r="K100" s="98"/>
      <c r="L100" s="98"/>
      <c r="M100" s="98"/>
      <c r="O100" s="92">
        <v>8497745</v>
      </c>
    </row>
    <row r="101" spans="1:15" s="92" customFormat="1" hidden="1">
      <c r="B101" s="92">
        <v>10</v>
      </c>
      <c r="D101" s="98"/>
      <c r="E101" s="98"/>
      <c r="F101" s="98"/>
      <c r="G101" s="98"/>
      <c r="H101" s="98"/>
      <c r="I101" s="98"/>
      <c r="J101" s="98"/>
      <c r="K101" s="98"/>
      <c r="L101" s="98"/>
      <c r="M101" s="98"/>
      <c r="O101" s="92">
        <v>14393110</v>
      </c>
    </row>
    <row r="102" spans="1:15" s="92" customFormat="1" hidden="1">
      <c r="B102" s="92">
        <v>11</v>
      </c>
      <c r="D102" s="98"/>
      <c r="E102" s="98"/>
      <c r="F102" s="98"/>
      <c r="G102" s="98"/>
      <c r="H102" s="98"/>
      <c r="I102" s="98"/>
      <c r="J102" s="98"/>
      <c r="K102" s="98"/>
      <c r="L102" s="98"/>
      <c r="M102" s="98"/>
      <c r="O102" s="92">
        <v>2887140</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8</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t="s">
        <v>253</v>
      </c>
      <c r="D120" s="54" t="s">
        <v>253</v>
      </c>
      <c r="E120" s="54" t="s">
        <v>253</v>
      </c>
      <c r="F120" s="55">
        <v>7</v>
      </c>
    </row>
    <row r="121" spans="1:15" ht="18" customHeight="1">
      <c r="A121" s="173" t="s">
        <v>191</v>
      </c>
      <c r="B121" s="33" t="s">
        <v>192</v>
      </c>
      <c r="C121" s="56"/>
      <c r="D121" s="56"/>
      <c r="E121" s="56"/>
      <c r="F121" s="57">
        <v>41.950000762939453</v>
      </c>
      <c r="G121" s="206"/>
      <c r="H121" s="206"/>
      <c r="I121" s="206"/>
      <c r="J121" s="206"/>
      <c r="K121" s="206"/>
      <c r="L121" s="206"/>
      <c r="M121" s="206"/>
      <c r="N121" s="206"/>
      <c r="O121" s="206"/>
    </row>
    <row r="122" spans="1:15" ht="18" customHeight="1">
      <c r="A122" s="174"/>
      <c r="B122" s="35" t="s">
        <v>184</v>
      </c>
      <c r="C122" s="58"/>
      <c r="D122" s="58"/>
      <c r="E122" s="58"/>
      <c r="F122" s="59">
        <v>1482.142822265625</v>
      </c>
      <c r="G122" s="206"/>
      <c r="H122" s="206"/>
      <c r="I122" s="206"/>
      <c r="J122" s="206"/>
      <c r="K122" s="206"/>
      <c r="L122" s="206"/>
      <c r="M122" s="206"/>
      <c r="N122" s="206"/>
      <c r="O122" s="206"/>
    </row>
    <row r="123" spans="1:15" ht="18" customHeight="1">
      <c r="A123" s="174"/>
      <c r="B123" s="35" t="s">
        <v>185</v>
      </c>
      <c r="C123" s="58"/>
      <c r="D123" s="58"/>
      <c r="E123" s="58"/>
      <c r="F123" s="59">
        <v>491.42855834960938</v>
      </c>
      <c r="G123" s="206"/>
      <c r="H123" s="206"/>
      <c r="I123" s="206"/>
      <c r="J123" s="206"/>
      <c r="K123" s="206"/>
      <c r="L123" s="206"/>
      <c r="M123" s="206"/>
      <c r="N123" s="206"/>
      <c r="O123" s="206"/>
    </row>
    <row r="124" spans="1:15" ht="18" customHeight="1">
      <c r="A124" s="174"/>
      <c r="B124" s="35" t="s">
        <v>186</v>
      </c>
      <c r="C124" s="58"/>
      <c r="D124" s="58"/>
      <c r="E124" s="58"/>
      <c r="F124" s="59">
        <v>1038.7921142578125</v>
      </c>
      <c r="G124" s="206"/>
      <c r="H124" s="206"/>
      <c r="I124" s="206"/>
      <c r="J124" s="206"/>
      <c r="K124" s="206"/>
      <c r="L124" s="206"/>
      <c r="M124" s="206"/>
      <c r="N124" s="206"/>
      <c r="O124" s="206"/>
    </row>
    <row r="125" spans="1:15" ht="18" customHeight="1">
      <c r="A125" s="174"/>
      <c r="B125" s="35" t="s">
        <v>187</v>
      </c>
      <c r="C125" s="31"/>
      <c r="D125" s="31"/>
      <c r="E125" s="31"/>
      <c r="F125" s="60">
        <v>640.81292724609375</v>
      </c>
      <c r="G125" s="206"/>
      <c r="H125" s="206"/>
      <c r="I125" s="206"/>
      <c r="J125" s="206"/>
      <c r="K125" s="206"/>
      <c r="L125" s="206"/>
      <c r="M125" s="206"/>
      <c r="N125" s="206"/>
      <c r="O125" s="206"/>
    </row>
    <row r="126" spans="1:15" ht="18" customHeight="1">
      <c r="A126" s="174"/>
      <c r="B126" s="35" t="s">
        <v>193</v>
      </c>
      <c r="C126" s="31"/>
      <c r="D126" s="31"/>
      <c r="E126" s="31"/>
      <c r="F126" s="60">
        <f ca="1">1416.00725*OFFSET($L$112,MATCH($N$1,$C$112:$C$113,0)-1,0)</f>
        <v>1416.0072500000001</v>
      </c>
      <c r="G126" s="206"/>
      <c r="H126" s="206"/>
      <c r="I126" s="206"/>
      <c r="J126" s="206"/>
      <c r="K126" s="206"/>
      <c r="L126" s="206"/>
      <c r="M126" s="206"/>
      <c r="N126" s="206"/>
      <c r="O126" s="206"/>
    </row>
    <row r="127" spans="1:15" ht="18" customHeight="1">
      <c r="A127" s="174"/>
      <c r="B127" s="35" t="s">
        <v>189</v>
      </c>
      <c r="C127" s="58"/>
      <c r="D127" s="58"/>
      <c r="E127" s="58"/>
      <c r="F127" s="59">
        <v>254.71427917480469</v>
      </c>
      <c r="G127" s="206"/>
      <c r="H127" s="206"/>
      <c r="I127" s="206"/>
      <c r="J127" s="206"/>
      <c r="K127" s="206"/>
      <c r="L127" s="206"/>
      <c r="M127" s="206"/>
      <c r="N127" s="206"/>
      <c r="O127" s="206"/>
    </row>
    <row r="128" spans="1:15" ht="18" customHeight="1">
      <c r="A128" s="174"/>
      <c r="B128" s="35" t="s">
        <v>194</v>
      </c>
      <c r="C128" s="58"/>
      <c r="D128" s="58"/>
      <c r="E128" s="58"/>
      <c r="F128" s="59">
        <v>28.571428298950195</v>
      </c>
      <c r="G128" s="206"/>
      <c r="H128" s="206"/>
      <c r="I128" s="206"/>
      <c r="J128" s="206"/>
      <c r="K128" s="206"/>
      <c r="L128" s="206"/>
      <c r="M128" s="206"/>
      <c r="N128" s="206"/>
      <c r="O128" s="206"/>
    </row>
    <row r="129" spans="1:15" ht="18" customHeight="1">
      <c r="A129" s="174"/>
      <c r="B129" s="35" t="s">
        <v>195</v>
      </c>
      <c r="C129" s="61"/>
      <c r="D129" s="61"/>
      <c r="E129" s="61"/>
      <c r="F129" s="62">
        <v>2.5158107280731201</v>
      </c>
      <c r="G129" s="206"/>
      <c r="H129" s="206"/>
      <c r="I129" s="206"/>
      <c r="J129" s="206"/>
      <c r="K129" s="206"/>
      <c r="L129" s="206"/>
      <c r="M129" s="206"/>
      <c r="N129" s="206"/>
      <c r="O129" s="206"/>
    </row>
    <row r="130" spans="1:15" ht="18" customHeight="1">
      <c r="A130" s="175"/>
      <c r="B130" s="37" t="s">
        <v>196</v>
      </c>
      <c r="C130" s="38"/>
      <c r="D130" s="38"/>
      <c r="E130" s="38"/>
      <c r="F130" s="63">
        <f ca="1">2210*OFFSET($L$112,MATCH($N$1,$C$112:$C$113,0)-1,0)</f>
        <v>2210</v>
      </c>
      <c r="G130" s="206"/>
      <c r="H130" s="206"/>
      <c r="I130" s="206"/>
      <c r="J130" s="206"/>
      <c r="K130" s="206"/>
      <c r="L130" s="206"/>
      <c r="M130" s="206"/>
      <c r="N130" s="206"/>
      <c r="O130" s="206"/>
    </row>
    <row r="131" spans="1:15" ht="18" customHeight="1">
      <c r="A131" s="184" t="s">
        <v>197</v>
      </c>
      <c r="B131" s="33" t="s">
        <v>198</v>
      </c>
      <c r="C131" s="64"/>
      <c r="D131" s="64"/>
      <c r="E131" s="64"/>
      <c r="F131" s="65">
        <v>1.698740415545378</v>
      </c>
      <c r="G131" s="206"/>
      <c r="H131" s="206"/>
      <c r="I131" s="206"/>
      <c r="J131" s="206"/>
      <c r="K131" s="206"/>
      <c r="L131" s="206"/>
      <c r="M131" s="206"/>
      <c r="N131" s="206"/>
      <c r="O131" s="206"/>
    </row>
    <row r="132" spans="1:15" ht="18" customHeight="1">
      <c r="A132" s="185"/>
      <c r="B132" s="35" t="s">
        <v>199</v>
      </c>
      <c r="C132" s="61"/>
      <c r="D132" s="61"/>
      <c r="E132" s="61"/>
      <c r="F132" s="62">
        <f ca="1">3.75371444926626*OFFSET($L$112,MATCH($N$1,$C$112:$C$113,0)-1,0)</f>
        <v>3.7537144492662602</v>
      </c>
      <c r="G132" s="206"/>
      <c r="H132" s="206"/>
      <c r="I132" s="206"/>
      <c r="J132" s="206"/>
      <c r="K132" s="206"/>
      <c r="L132" s="206"/>
      <c r="M132" s="206"/>
      <c r="N132" s="206"/>
      <c r="O132" s="206"/>
    </row>
    <row r="133" spans="1:15" ht="18" customHeight="1">
      <c r="A133" s="185"/>
      <c r="B133" s="35" t="s">
        <v>154</v>
      </c>
      <c r="C133" s="61"/>
      <c r="D133" s="61"/>
      <c r="E133" s="61"/>
      <c r="F133" s="62">
        <f ca="1">4.09159042870676*OFFSET($L$112,MATCH($N$1,$C$112:$C$113,0)-1,0)</f>
        <v>4.0915904287067599</v>
      </c>
      <c r="G133" s="206"/>
      <c r="H133" s="206"/>
      <c r="I133" s="206"/>
      <c r="J133" s="206"/>
      <c r="K133" s="206"/>
      <c r="L133" s="206"/>
      <c r="M133" s="206"/>
      <c r="N133" s="206"/>
      <c r="O133" s="206"/>
    </row>
    <row r="134" spans="1:15" ht="18" customHeight="1">
      <c r="A134" s="186"/>
      <c r="B134" s="37" t="s">
        <v>155</v>
      </c>
      <c r="C134" s="66"/>
      <c r="D134" s="66"/>
      <c r="E134" s="66"/>
      <c r="F134" s="67">
        <f ca="1">-0.3378759794405*OFFSET($L$112,MATCH($N$1,$C$112:$C$113,0)-1,0)</f>
        <v>-0.33787597944050002</v>
      </c>
      <c r="G134" s="206"/>
      <c r="H134" s="206"/>
      <c r="I134" s="206"/>
      <c r="J134" s="206"/>
      <c r="K134" s="206"/>
      <c r="L134" s="206"/>
      <c r="M134" s="206"/>
      <c r="N134" s="206"/>
      <c r="O134" s="206"/>
    </row>
    <row r="135" spans="1:15" ht="18" customHeight="1">
      <c r="A135" s="187" t="s">
        <v>254</v>
      </c>
      <c r="B135" s="35" t="s">
        <v>255</v>
      </c>
      <c r="C135" s="68"/>
      <c r="D135" s="68"/>
      <c r="E135" s="68"/>
      <c r="F135" s="69">
        <f ca="1">869.209125*OFFSET($L$112,MATCH($N$1,$C$112:$C$113,0)-1,0)</f>
        <v>869.20912499999997</v>
      </c>
      <c r="G135" s="206"/>
      <c r="H135" s="206"/>
      <c r="I135" s="206"/>
      <c r="J135" s="206"/>
      <c r="K135" s="206"/>
      <c r="L135" s="206"/>
      <c r="M135" s="206"/>
      <c r="N135" s="206"/>
      <c r="O135" s="206"/>
    </row>
    <row r="136" spans="1:15" ht="18" customHeight="1">
      <c r="A136" s="188"/>
      <c r="B136" s="35" t="s">
        <v>256</v>
      </c>
      <c r="C136" s="30"/>
      <c r="D136" s="30"/>
      <c r="E136" s="30"/>
      <c r="F136" s="70">
        <v>1655642.857142857</v>
      </c>
      <c r="G136" s="206"/>
      <c r="H136" s="206"/>
      <c r="I136" s="206"/>
      <c r="J136" s="206"/>
      <c r="K136" s="206"/>
      <c r="L136" s="206"/>
      <c r="M136" s="206"/>
      <c r="N136" s="206"/>
      <c r="O136" s="206"/>
    </row>
    <row r="137" spans="1:15" ht="18" customHeight="1">
      <c r="A137" s="188"/>
      <c r="B137" s="35" t="s">
        <v>257</v>
      </c>
      <c r="C137" s="30"/>
      <c r="D137" s="30"/>
      <c r="E137" s="30"/>
      <c r="F137" s="70">
        <v>6500</v>
      </c>
      <c r="G137" s="206"/>
      <c r="H137" s="206"/>
      <c r="I137" s="206"/>
      <c r="J137" s="206"/>
      <c r="K137" s="206"/>
      <c r="L137" s="206"/>
      <c r="M137" s="206"/>
      <c r="N137" s="206"/>
      <c r="O137" s="206"/>
    </row>
    <row r="138" spans="1:15" ht="18" customHeight="1">
      <c r="A138" s="188"/>
      <c r="B138" s="35" t="s">
        <v>258</v>
      </c>
      <c r="C138" s="30"/>
      <c r="D138" s="30"/>
      <c r="E138" s="30"/>
      <c r="F138" s="70">
        <f ca="1">3412.48683747126*OFFSET($L$112,MATCH($N$1,$C$112:$C$113,0)-1,0)</f>
        <v>3412.4868374712601</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c r="D139" s="30"/>
      <c r="E139" s="30"/>
      <c r="F139" s="70">
        <f ca="1">1356.41633937605*OFFSET($L$112,MATCH($N$1,$C$112:$C$113,0)-1,0)</f>
        <v>1356.41633937605</v>
      </c>
      <c r="G139" s="206"/>
      <c r="H139" s="206"/>
      <c r="I139" s="46"/>
      <c r="J139" s="206"/>
      <c r="K139" s="71" t="s">
        <v>260</v>
      </c>
      <c r="L139" s="72">
        <f t="shared" ref="L139:M141" si="2">C140</f>
        <v>0</v>
      </c>
      <c r="M139" s="72">
        <f t="shared" si="2"/>
        <v>0</v>
      </c>
      <c r="N139" s="72">
        <f>E140</f>
        <v>0</v>
      </c>
      <c r="O139" s="72"/>
    </row>
    <row r="140" spans="1:15" ht="18" customHeight="1">
      <c r="A140" s="166" t="s">
        <v>261</v>
      </c>
      <c r="B140" s="33" t="s">
        <v>262</v>
      </c>
      <c r="C140" s="73"/>
      <c r="D140" s="73"/>
      <c r="E140" s="73"/>
      <c r="F140" s="74">
        <f ca="1">1459.188375*OFFSET($L$112,MATCH($N$1,$C$112:$C$113,0)-1,0)</f>
        <v>1459.188375</v>
      </c>
      <c r="G140" s="206"/>
      <c r="H140" s="206"/>
      <c r="I140" s="46"/>
      <c r="J140" s="206"/>
      <c r="K140" s="71" t="s">
        <v>263</v>
      </c>
      <c r="L140" s="72">
        <f t="shared" si="2"/>
        <v>0</v>
      </c>
      <c r="M140" s="72">
        <f t="shared" si="2"/>
        <v>0</v>
      </c>
      <c r="N140" s="72">
        <f>E141</f>
        <v>0</v>
      </c>
      <c r="O140" s="72"/>
    </row>
    <row r="141" spans="1:15" ht="18" customHeight="1">
      <c r="A141" s="167"/>
      <c r="B141" s="35" t="s">
        <v>264</v>
      </c>
      <c r="C141" s="30"/>
      <c r="D141" s="30"/>
      <c r="E141" s="30"/>
      <c r="F141" s="70">
        <f ca="1">1586.64475*OFFSET($L$112,MATCH($N$1,$C$112:$C$113,0)-1,0)</f>
        <v>1586.6447499999999</v>
      </c>
      <c r="G141" s="206"/>
      <c r="H141" s="206"/>
      <c r="I141" s="46"/>
      <c r="J141" s="206"/>
      <c r="K141" s="71" t="s">
        <v>265</v>
      </c>
      <c r="L141" s="72">
        <f t="shared" si="2"/>
        <v>0</v>
      </c>
      <c r="M141" s="72">
        <f t="shared" si="2"/>
        <v>0</v>
      </c>
      <c r="N141" s="72">
        <f>E142</f>
        <v>0</v>
      </c>
      <c r="O141" s="72"/>
    </row>
    <row r="142" spans="1:15" ht="18" customHeight="1">
      <c r="A142" s="168"/>
      <c r="B142" s="37" t="s">
        <v>266</v>
      </c>
      <c r="C142" s="38"/>
      <c r="D142" s="38"/>
      <c r="E142" s="38"/>
      <c r="F142" s="63">
        <f ca="1">-127.456375*OFFSET($L$112,MATCH($N$1,$C$112:$C$113,0)-1,0)</f>
        <v>-127.45637499999999</v>
      </c>
      <c r="G142" s="206"/>
      <c r="H142" s="206"/>
      <c r="I142" s="46"/>
      <c r="J142" s="206"/>
      <c r="K142" s="71" t="s">
        <v>267</v>
      </c>
      <c r="L142" s="75" t="str">
        <f>IFERROR(L140/L$139,"")</f>
        <v/>
      </c>
      <c r="M142" s="75" t="str">
        <f t="shared" ref="M142:N143" si="3">IFERROR(M140/M$139,"")</f>
        <v/>
      </c>
      <c r="N142" s="75" t="str">
        <f t="shared" si="3"/>
        <v/>
      </c>
      <c r="O142" s="75"/>
    </row>
    <row r="143" spans="1:15" ht="18" customHeight="1">
      <c r="A143" s="206"/>
      <c r="B143" s="206"/>
      <c r="C143" s="206"/>
      <c r="D143" s="206"/>
      <c r="E143" s="206"/>
      <c r="F143" s="206"/>
      <c r="G143" s="206"/>
      <c r="H143" s="206"/>
      <c r="I143" s="46"/>
      <c r="J143" s="206"/>
      <c r="K143" s="71" t="s">
        <v>268</v>
      </c>
      <c r="L143" s="75" t="str">
        <f>IFERROR(L141/L$139,"")</f>
        <v/>
      </c>
      <c r="M143" s="75" t="str">
        <f t="shared" si="3"/>
        <v/>
      </c>
      <c r="N143" s="75" t="str">
        <f t="shared" si="3"/>
        <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9</v>
      </c>
      <c r="B161" s="51"/>
      <c r="C161" s="76" t="s">
        <v>249</v>
      </c>
      <c r="D161" s="76" t="s">
        <v>270</v>
      </c>
      <c r="E161" s="76" t="s">
        <v>251</v>
      </c>
      <c r="F161" s="76" t="s">
        <v>271</v>
      </c>
      <c r="G161" s="77">
        <v>8</v>
      </c>
      <c r="H161" s="76"/>
      <c r="I161" s="76" t="s">
        <v>249</v>
      </c>
      <c r="J161" s="76" t="s">
        <v>270</v>
      </c>
      <c r="K161" s="76" t="s">
        <v>251</v>
      </c>
      <c r="L161" s="51" t="s">
        <v>271</v>
      </c>
      <c r="R161" s="206"/>
      <c r="S161" s="206"/>
    </row>
    <row r="162" spans="1:19" s="46" customFormat="1">
      <c r="A162" s="47">
        <v>1</v>
      </c>
      <c r="B162" s="51" t="s">
        <v>168</v>
      </c>
      <c r="C162" s="51">
        <v>0</v>
      </c>
      <c r="D162" s="51">
        <v>0</v>
      </c>
      <c r="E162" s="51">
        <v>0</v>
      </c>
      <c r="F162" s="47">
        <v>12153634</v>
      </c>
      <c r="G162" s="47">
        <v>1</v>
      </c>
      <c r="H162" s="51" t="s">
        <v>168</v>
      </c>
      <c r="I162" s="51">
        <v>0</v>
      </c>
      <c r="J162" s="51">
        <v>0</v>
      </c>
      <c r="K162" s="51">
        <v>0</v>
      </c>
      <c r="L162" s="47">
        <v>12153634</v>
      </c>
      <c r="R162" s="206"/>
      <c r="S162" s="206"/>
    </row>
    <row r="163" spans="1:19" s="46" customFormat="1">
      <c r="A163" s="47">
        <v>2</v>
      </c>
      <c r="B163" s="51" t="s">
        <v>403</v>
      </c>
      <c r="C163" s="51">
        <v>0</v>
      </c>
      <c r="D163" s="51">
        <v>0</v>
      </c>
      <c r="E163" s="51">
        <v>0</v>
      </c>
      <c r="F163" s="47">
        <v>11115023</v>
      </c>
      <c r="G163" s="47">
        <v>2</v>
      </c>
      <c r="H163" s="51" t="s">
        <v>171</v>
      </c>
      <c r="I163" s="51">
        <v>0</v>
      </c>
      <c r="J163" s="51">
        <v>0</v>
      </c>
      <c r="K163" s="51">
        <v>0</v>
      </c>
      <c r="L163" s="47">
        <v>553960</v>
      </c>
      <c r="N163" s="46" t="s">
        <v>272</v>
      </c>
      <c r="R163" s="206"/>
      <c r="S163" s="206"/>
    </row>
    <row r="164" spans="1:19" s="46" customFormat="1">
      <c r="A164" s="47">
        <v>3</v>
      </c>
      <c r="B164" s="51" t="s">
        <v>286</v>
      </c>
      <c r="C164" s="51">
        <v>0</v>
      </c>
      <c r="D164" s="51">
        <v>0</v>
      </c>
      <c r="E164" s="51">
        <v>0</v>
      </c>
      <c r="F164" s="47">
        <v>3050596</v>
      </c>
      <c r="G164" s="47">
        <v>3</v>
      </c>
      <c r="H164" s="51" t="s">
        <v>286</v>
      </c>
      <c r="I164" s="51">
        <v>0</v>
      </c>
      <c r="J164" s="51">
        <v>0</v>
      </c>
      <c r="K164" s="51">
        <v>0</v>
      </c>
      <c r="L164" s="47">
        <v>3050596</v>
      </c>
      <c r="N164" s="46" t="s">
        <v>273</v>
      </c>
      <c r="R164" s="206"/>
      <c r="S164" s="206"/>
    </row>
    <row r="165" spans="1:19" s="46" customFormat="1">
      <c r="A165" s="47">
        <v>4</v>
      </c>
      <c r="B165" s="51" t="s">
        <v>171</v>
      </c>
      <c r="C165" s="51">
        <v>0</v>
      </c>
      <c r="D165" s="51">
        <v>0</v>
      </c>
      <c r="E165" s="51">
        <v>0</v>
      </c>
      <c r="F165" s="47">
        <v>553960</v>
      </c>
      <c r="G165" s="47">
        <v>4</v>
      </c>
      <c r="H165" s="51" t="s">
        <v>285</v>
      </c>
      <c r="I165" s="51">
        <v>0</v>
      </c>
      <c r="J165" s="51">
        <v>0</v>
      </c>
      <c r="K165" s="51">
        <v>0</v>
      </c>
      <c r="L165" s="47">
        <v>1692097</v>
      </c>
      <c r="R165" s="206"/>
      <c r="S165" s="206"/>
    </row>
    <row r="166" spans="1:19" s="46" customFormat="1">
      <c r="A166" s="47">
        <v>5</v>
      </c>
      <c r="B166" s="51" t="s">
        <v>170</v>
      </c>
      <c r="C166" s="51">
        <v>0</v>
      </c>
      <c r="D166" s="51">
        <v>0</v>
      </c>
      <c r="E166" s="51">
        <v>0</v>
      </c>
      <c r="F166" s="47">
        <v>2480382</v>
      </c>
      <c r="G166" s="47">
        <v>5</v>
      </c>
      <c r="H166" s="51" t="s">
        <v>403</v>
      </c>
      <c r="I166" s="51">
        <v>0</v>
      </c>
      <c r="J166" s="51">
        <v>0</v>
      </c>
      <c r="K166" s="51">
        <v>0</v>
      </c>
      <c r="L166" s="47">
        <v>11115023</v>
      </c>
      <c r="R166" s="206"/>
      <c r="S166" s="206"/>
    </row>
    <row r="167" spans="1:19" s="46" customFormat="1">
      <c r="A167" s="47">
        <v>6</v>
      </c>
      <c r="B167" s="51" t="s">
        <v>326</v>
      </c>
      <c r="C167" s="51">
        <v>0</v>
      </c>
      <c r="D167" s="51">
        <v>0</v>
      </c>
      <c r="E167" s="51">
        <v>0</v>
      </c>
      <c r="F167" s="47">
        <v>3689192</v>
      </c>
      <c r="G167" s="47">
        <v>6</v>
      </c>
      <c r="H167" s="51" t="s">
        <v>326</v>
      </c>
      <c r="I167" s="51">
        <v>0</v>
      </c>
      <c r="J167" s="51">
        <v>0</v>
      </c>
      <c r="K167" s="51">
        <v>0</v>
      </c>
      <c r="L167" s="47">
        <v>3689192</v>
      </c>
      <c r="R167" s="206"/>
      <c r="S167" s="206"/>
    </row>
    <row r="168" spans="1:19" s="46" customFormat="1">
      <c r="A168" s="47">
        <v>7</v>
      </c>
      <c r="B168" s="51" t="s">
        <v>285</v>
      </c>
      <c r="C168" s="51">
        <v>0</v>
      </c>
      <c r="D168" s="51">
        <v>0</v>
      </c>
      <c r="E168" s="51">
        <v>0</v>
      </c>
      <c r="F168" s="47">
        <v>1692097</v>
      </c>
      <c r="G168" s="47">
        <v>7</v>
      </c>
      <c r="H168" s="51" t="s">
        <v>245</v>
      </c>
      <c r="I168" s="51">
        <v>0</v>
      </c>
      <c r="J168" s="51">
        <v>0</v>
      </c>
      <c r="K168" s="51">
        <v>0</v>
      </c>
      <c r="L168" s="47">
        <v>5920853</v>
      </c>
      <c r="R168" s="206"/>
      <c r="S168" s="206"/>
    </row>
    <row r="169" spans="1:19" s="46" customFormat="1">
      <c r="A169" s="47">
        <v>8</v>
      </c>
      <c r="B169" s="51" t="s">
        <v>245</v>
      </c>
      <c r="C169" s="51">
        <v>0</v>
      </c>
      <c r="D169" s="51">
        <v>0</v>
      </c>
      <c r="E169" s="51">
        <v>0</v>
      </c>
      <c r="F169" s="47">
        <v>5920853</v>
      </c>
      <c r="G169" s="47">
        <v>8</v>
      </c>
      <c r="H169" s="51"/>
      <c r="I169" s="51">
        <v>0</v>
      </c>
      <c r="J169" s="51">
        <v>0</v>
      </c>
      <c r="K169" s="51">
        <v>0</v>
      </c>
      <c r="L169" s="47"/>
      <c r="R169" s="206"/>
      <c r="S169" s="206"/>
    </row>
    <row r="170" spans="1:19" s="46" customFormat="1">
      <c r="A170" s="47">
        <v>9</v>
      </c>
      <c r="B170" s="51"/>
      <c r="C170" s="51">
        <v>0</v>
      </c>
      <c r="D170" s="51">
        <v>0</v>
      </c>
      <c r="E170" s="51">
        <v>0</v>
      </c>
      <c r="F170" s="47"/>
      <c r="G170" s="47">
        <v>9</v>
      </c>
      <c r="H170" s="51"/>
      <c r="I170" s="51">
        <v>0</v>
      </c>
      <c r="J170" s="51">
        <v>0</v>
      </c>
      <c r="K170" s="51">
        <v>0</v>
      </c>
      <c r="L170" s="47"/>
      <c r="R170" s="206"/>
      <c r="S170" s="206"/>
    </row>
    <row r="171" spans="1:19" s="46" customFormat="1">
      <c r="A171" s="47">
        <v>10</v>
      </c>
      <c r="B171" s="51"/>
      <c r="C171" s="51">
        <v>0</v>
      </c>
      <c r="D171" s="51">
        <v>0</v>
      </c>
      <c r="E171" s="51">
        <v>0</v>
      </c>
      <c r="F171" s="47"/>
      <c r="G171" s="47">
        <v>10</v>
      </c>
      <c r="H171" s="51"/>
      <c r="I171" s="51">
        <v>0</v>
      </c>
      <c r="J171" s="51">
        <v>0</v>
      </c>
      <c r="K171" s="51">
        <v>0</v>
      </c>
      <c r="L171" s="47"/>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3C874DDE-45B0-4FB7-8E5D-1DC5CE8ECD56}">
      <formula1>$C$112:$C$113</formula1>
    </dataValidation>
  </dataValidations>
  <hyperlinks>
    <hyperlink ref="O1:P1" location="Home_page" display="Back to home page" xr:uid="{C8AE74BA-7178-4A69-8CAC-0906DAB9D155}"/>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88747B45-E54A-41AD-B33B-56DD1203E544}">
          <x14:colorSeries rgb="FF323232"/>
          <x14:colorNegative rgb="FFD00000"/>
          <x14:colorAxis rgb="FF000000"/>
          <x14:colorMarkers rgb="FFD00000"/>
          <x14:colorFirst rgb="FFD00000"/>
          <x14:colorLast rgb="FFD00000"/>
          <x14:colorHigh rgb="FFD00000"/>
          <x14:colorLow rgb="FFD00000"/>
          <x14:sparklines>
            <x14:sparkline>
              <xm:f>'NS beam trawl over 300kW'!D3:N3</xm:f>
              <xm:sqref>C3</xm:sqref>
            </x14:sparkline>
            <x14:sparkline>
              <xm:f>'NS beam trawl over 300kW'!D4:N4</xm:f>
              <xm:sqref>C4</xm:sqref>
            </x14:sparkline>
            <x14:sparkline>
              <xm:f>'NS beam trawl over 300kW'!D5:N5</xm:f>
              <xm:sqref>C5</xm:sqref>
            </x14:sparkline>
            <x14:sparkline>
              <xm:f>'NS beam trawl over 300kW'!D6:N6</xm:f>
              <xm:sqref>C6</xm:sqref>
            </x14:sparkline>
            <x14:sparkline>
              <xm:f>'NS beam trawl over 300kW'!D7:N7</xm:f>
              <xm:sqref>C7</xm:sqref>
            </x14:sparkline>
            <x14:sparkline>
              <xm:f>'NS beam trawl over 300kW'!D8:N8</xm:f>
              <xm:sqref>C8</xm:sqref>
            </x14:sparkline>
            <x14:sparkline>
              <xm:f>'NS beam trawl over 300kW'!D9:N9</xm:f>
              <xm:sqref>C9</xm:sqref>
            </x14:sparkline>
            <x14:sparkline>
              <xm:f>'NS beam trawl over 300kW'!D10:N10</xm:f>
              <xm:sqref>C10</xm:sqref>
            </x14:sparkline>
            <x14:sparkline>
              <xm:f>'NS beam trawl over 300kW'!D11:N11</xm:f>
              <xm:sqref>C11</xm:sqref>
            </x14:sparkline>
            <x14:sparkline>
              <xm:f>'NS beam trawl over 300kW'!D12:N12</xm:f>
              <xm:sqref>C12</xm:sqref>
            </x14:sparkline>
            <x14:sparkline>
              <xm:f>'NS beam trawl over 300kW'!D13:N13</xm:f>
              <xm:sqref>C13</xm:sqref>
            </x14:sparkline>
            <x14:sparkline>
              <xm:f>'NS beam trawl over 300kW'!D14:N14</xm:f>
              <xm:sqref>C14</xm:sqref>
            </x14:sparkline>
            <x14:sparkline>
              <xm:f>'NS beam trawl over 300kW'!D15:N15</xm:f>
              <xm:sqref>C15</xm:sqref>
            </x14:sparkline>
            <x14:sparkline>
              <xm:f>'NS beam trawl over 300kW'!D16:N16</xm:f>
              <xm:sqref>C16</xm:sqref>
            </x14:sparkline>
            <x14:sparkline>
              <xm:f>'NS beam trawl over 300kW'!D17:N17</xm:f>
              <xm:sqref>C17</xm:sqref>
            </x14:sparkline>
            <x14:sparkline>
              <xm:f>'NS beam trawl over 300kW'!D18:N18</xm:f>
              <xm:sqref>C18</xm:sqref>
            </x14:sparkline>
            <x14:sparkline>
              <xm:f>'NS beam trawl over 300kW'!D19:N19</xm:f>
              <xm:sqref>C19</xm:sqref>
            </x14:sparkline>
            <x14:sparkline>
              <xm:f>'NS beam trawl over 300kW'!D20:N20</xm:f>
              <xm:sqref>C20</xm:sqref>
            </x14:sparkline>
            <x14:sparkline>
              <xm:f>'NS beam trawl over 300kW'!D21:N21</xm:f>
              <xm:sqref>C21</xm:sqref>
            </x14:sparkline>
            <x14:sparkline>
              <xm:f>'NS beam trawl over 300kW'!D22:N22</xm:f>
              <xm:sqref>C22</xm:sqref>
            </x14:sparkline>
            <x14:sparkline>
              <xm:f>'NS beam trawl over 300kW'!D23:N23</xm:f>
              <xm:sqref>C23</xm:sqref>
            </x14:sparkline>
            <x14:sparkline>
              <xm:f>'NS beam trawl over 300kW'!D24:N24</xm:f>
              <xm:sqref>C24</xm:sqref>
            </x14:sparkline>
            <x14:sparkline>
              <xm:f>'NS beam trawl over 300kW'!D25:N25</xm:f>
              <xm:sqref>C25</xm:sqref>
            </x14:sparkline>
            <x14:sparkline>
              <xm:f>'NS beam trawl over 300kW'!D26:N26</xm:f>
              <xm:sqref>C26</xm:sqref>
            </x14:sparkline>
            <x14:sparkline>
              <xm:f>'NS beam trawl over 300kW'!D27:N27</xm:f>
              <xm:sqref>C27</xm:sqref>
            </x14:sparkline>
            <x14:sparkline>
              <xm:f>'NS beam trawl over 300kW'!D28:N28</xm:f>
              <xm:sqref>C28</xm:sqref>
            </x14:sparkline>
            <x14:sparkline>
              <xm:f>'NS beam trawl over 300kW'!D29:N29</xm:f>
              <xm:sqref>C29</xm:sqref>
            </x14:sparkline>
            <x14:sparkline>
              <xm:f>'NS beam trawl over 300kW'!D30:N30</xm:f>
              <xm:sqref>C30</xm:sqref>
            </x14:sparkline>
            <x14:sparkline>
              <xm:f>'NS beam trawl over 300kW'!D31:N31</xm:f>
              <xm:sqref>C31</xm:sqref>
            </x14:sparkline>
            <x14:sparkline>
              <xm:f>'NS beam trawl over 300kW'!D32:N32</xm:f>
              <xm:sqref>C32</xm:sqref>
            </x14:sparkline>
            <x14:sparkline>
              <xm:f>'NS beam trawl over 300kW'!D33:N33</xm:f>
              <xm:sqref>C33</xm:sqref>
            </x14:sparkline>
            <x14:sparkline>
              <xm:f>'NS beam trawl over 300kW'!D34:N34</xm:f>
              <xm:sqref>C34</xm:sqref>
            </x14:sparkline>
            <x14:sparkline>
              <xm:f>'NS beam trawl over 300kW'!D35:N35</xm:f>
              <xm:sqref>C35</xm:sqref>
            </x14:sparkline>
            <x14:sparkline>
              <xm:f>'NS beam trawl over 300kW'!D36:N36</xm:f>
              <xm:sqref>C36</xm:sqref>
            </x14:sparkline>
            <x14:sparkline>
              <xm:f>'NS beam trawl over 300kW'!D37:N37</xm:f>
              <xm:sqref>C37</xm:sqref>
            </x14:sparkline>
            <x14:sparkline>
              <xm:f>'NS beam trawl over 300kW'!D38:N38</xm:f>
              <xm:sqref>C38</xm:sqref>
            </x14:sparkline>
            <x14:sparkline>
              <xm:f>'NS beam trawl over 300kW'!D39:N39</xm:f>
              <xm:sqref>C39</xm:sqref>
            </x14:sparkline>
            <x14:sparkline>
              <xm:f>'NS beam trawl over 300kW'!D40:N40</xm:f>
              <xm:sqref>C40</xm:sqref>
            </x14:sparkline>
            <x14:sparkline>
              <xm:f>'NS beam trawl over 300kW'!D41:N41</xm:f>
              <xm:sqref>C41</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B585B-D970-4ABA-AEB3-F93D68332B46}">
  <sheetPr codeName="Feuil18">
    <pageSetUpPr fitToPage="1"/>
  </sheetPr>
  <dimension ref="A1:S192"/>
  <sheetViews>
    <sheetView topLeftCell="A43"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21</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27</v>
      </c>
      <c r="E3" s="27">
        <v>13</v>
      </c>
      <c r="F3" s="27">
        <v>25</v>
      </c>
      <c r="G3" s="27">
        <v>18</v>
      </c>
      <c r="H3" s="27">
        <v>20</v>
      </c>
      <c r="I3" s="27">
        <v>8</v>
      </c>
      <c r="J3" s="27">
        <v>22</v>
      </c>
      <c r="K3" s="27">
        <v>20</v>
      </c>
      <c r="L3" s="27">
        <v>22</v>
      </c>
      <c r="M3" s="27">
        <v>14</v>
      </c>
      <c r="N3" s="27">
        <v>20</v>
      </c>
      <c r="O3" s="28">
        <f t="shared" ref="O3:O41" si="0">IF(N3=0,"",IFERROR(IF(AND(N3&gt;0,D3&lt;0),"na",IF(AND(N3&lt;0,D3&lt;0),-1,1)*(N3-D3)/D3),""))</f>
        <v>-0.25925925925925924</v>
      </c>
      <c r="P3" s="28">
        <f t="shared" ref="P3:P41" si="1">IF(N3=0,"",IFERROR(IF(AND(N3&gt;0,J3&lt;0),"na",IF(AND(N3&lt;0,J3&lt;0),-1,1)*(N3-J3)/J3),""))</f>
        <v>-9.0909090909090912E-2</v>
      </c>
      <c r="Q3" s="206"/>
    </row>
    <row r="4" spans="1:17" ht="18" customHeight="1">
      <c r="A4" s="172"/>
      <c r="B4" s="29" t="s">
        <v>184</v>
      </c>
      <c r="C4" s="30"/>
      <c r="D4" s="30">
        <v>5017</v>
      </c>
      <c r="E4" s="30">
        <v>2618</v>
      </c>
      <c r="F4" s="30">
        <v>4552</v>
      </c>
      <c r="G4" s="30">
        <v>3423</v>
      </c>
      <c r="H4" s="30">
        <v>3780</v>
      </c>
      <c r="I4" s="30">
        <v>1643</v>
      </c>
      <c r="J4" s="30">
        <v>4182</v>
      </c>
      <c r="K4" s="30">
        <v>3839</v>
      </c>
      <c r="L4" s="30">
        <v>4255</v>
      </c>
      <c r="M4" s="30">
        <v>2789</v>
      </c>
      <c r="N4" s="30">
        <v>3824</v>
      </c>
      <c r="O4" s="28">
        <f t="shared" si="0"/>
        <v>-0.23779150886984254</v>
      </c>
      <c r="P4" s="28">
        <f t="shared" si="1"/>
        <v>-8.5604973696795789E-2</v>
      </c>
      <c r="Q4" s="206"/>
    </row>
    <row r="5" spans="1:17" ht="18" customHeight="1">
      <c r="A5" s="172"/>
      <c r="B5" s="29" t="s">
        <v>185</v>
      </c>
      <c r="C5" s="30"/>
      <c r="D5" s="30">
        <v>991</v>
      </c>
      <c r="E5" s="30">
        <v>550</v>
      </c>
      <c r="F5" s="30">
        <v>601</v>
      </c>
      <c r="G5" s="30">
        <v>541</v>
      </c>
      <c r="H5" s="30">
        <v>525</v>
      </c>
      <c r="I5" s="30">
        <v>237</v>
      </c>
      <c r="J5" s="30">
        <v>586</v>
      </c>
      <c r="K5" s="30">
        <v>497</v>
      </c>
      <c r="L5" s="30">
        <v>539</v>
      </c>
      <c r="M5" s="30">
        <v>375</v>
      </c>
      <c r="N5" s="30">
        <v>486</v>
      </c>
      <c r="O5" s="28">
        <f t="shared" si="0"/>
        <v>-0.50958627648839561</v>
      </c>
      <c r="P5" s="28">
        <f t="shared" si="1"/>
        <v>-0.17064846416382254</v>
      </c>
      <c r="Q5" s="207"/>
    </row>
    <row r="6" spans="1:17" ht="18" customHeight="1">
      <c r="A6" s="172"/>
      <c r="B6" s="29" t="s">
        <v>186</v>
      </c>
      <c r="C6" s="30"/>
      <c r="D6" s="30">
        <v>4425.59228515625</v>
      </c>
      <c r="E6" s="30">
        <v>2340.24365234375</v>
      </c>
      <c r="F6" s="30">
        <v>3787.918212890625</v>
      </c>
      <c r="G6" s="30">
        <v>2964.882080078125</v>
      </c>
      <c r="H6" s="30">
        <v>3158.222900390625</v>
      </c>
      <c r="I6" s="30">
        <v>1356.519775390625</v>
      </c>
      <c r="J6" s="30">
        <v>3450.00048828125</v>
      </c>
      <c r="K6" s="30">
        <v>3126.47998046875</v>
      </c>
      <c r="L6" s="30">
        <v>3466.321533203125</v>
      </c>
      <c r="M6" s="30">
        <v>2304.69775390625</v>
      </c>
      <c r="N6" s="30">
        <v>3132.27978515625</v>
      </c>
      <c r="O6" s="28">
        <f t="shared" si="0"/>
        <v>-0.29223489573087463</v>
      </c>
      <c r="P6" s="28">
        <f t="shared" si="1"/>
        <v>-9.2092944393548398E-2</v>
      </c>
      <c r="Q6" s="206"/>
    </row>
    <row r="7" spans="1:17" ht="18" customHeight="1">
      <c r="A7" s="172"/>
      <c r="B7" s="29" t="s">
        <v>187</v>
      </c>
      <c r="C7" s="30"/>
      <c r="D7" s="30">
        <v>1737.2025146484375</v>
      </c>
      <c r="E7" s="30">
        <v>605.5247802734375</v>
      </c>
      <c r="F7" s="30">
        <v>1628.461181640625</v>
      </c>
      <c r="G7" s="30">
        <v>1101.98291015625</v>
      </c>
      <c r="H7" s="30">
        <v>1413.343017578125</v>
      </c>
      <c r="I7" s="30">
        <v>661.0830078125</v>
      </c>
      <c r="J7" s="30">
        <v>816.9619140625</v>
      </c>
      <c r="K7" s="30">
        <v>473.60379028320313</v>
      </c>
      <c r="L7" s="30">
        <v>983.5885009765625</v>
      </c>
      <c r="M7" s="30">
        <v>358.70660400390625</v>
      </c>
      <c r="N7" s="30">
        <v>875.04718017578125</v>
      </c>
      <c r="O7" s="28">
        <f t="shared" si="0"/>
        <v>-0.4962894810494406</v>
      </c>
      <c r="P7" s="28">
        <f t="shared" si="1"/>
        <v>7.1099111370371129E-2</v>
      </c>
      <c r="Q7" s="206"/>
    </row>
    <row r="8" spans="1:17" ht="18" customHeight="1">
      <c r="A8" s="172"/>
      <c r="B8" s="29" t="s">
        <v>188</v>
      </c>
      <c r="C8" s="31"/>
      <c r="D8" s="31">
        <f ca="1">3.7526085*OFFSET(D$112,MATCH($N$1,$C$112:$C$113,0)-1,0)</f>
        <v>3.7526085</v>
      </c>
      <c r="E8" s="31">
        <f ca="1">1.086315*OFFSET(E$112,MATCH($N$1,$C$112:$C$113,0)-1,0)</f>
        <v>1.0863149999999999</v>
      </c>
      <c r="F8" s="31">
        <f ca="1">3.27779675*OFFSET(F$112,MATCH($N$1,$C$112:$C$113,0)-1,0)</f>
        <v>3.2777967499999998</v>
      </c>
      <c r="G8" s="31">
        <f ca="1">2.45369025*OFFSET(G$112,MATCH($N$1,$C$112:$C$113,0)-1,0)</f>
        <v>2.4536902500000002</v>
      </c>
      <c r="H8" s="31">
        <f ca="1">1.49010475*OFFSET(H$112,MATCH($N$1,$C$112:$C$113,0)-1,0)</f>
        <v>1.49010475</v>
      </c>
      <c r="I8" s="31">
        <f ca="1">0.8816258125*OFFSET(I$112,MATCH($N$1,$C$112:$C$113,0)-1,0)</f>
        <v>0.88162581250000005</v>
      </c>
      <c r="J8" s="31">
        <f ca="1">2.6539095*OFFSET(J$112,MATCH($N$1,$C$112:$C$113,0)-1,0)</f>
        <v>2.6539095000000001</v>
      </c>
      <c r="K8" s="31">
        <f ca="1">2.13051075*OFFSET(K$112,MATCH($N$1,$C$112:$C$113,0)-1,0)</f>
        <v>2.13051075</v>
      </c>
      <c r="L8" s="31">
        <f ca="1">2.436449*OFFSET(L$112,MATCH($N$1,$C$112:$C$113,0)-1,0)</f>
        <v>2.4364490000000001</v>
      </c>
      <c r="M8" s="31">
        <f ca="1">0.687289625*OFFSET(M$112,MATCH($N$1,$C$112:$C$113,0)-1,0)</f>
        <v>0.68728962500000002</v>
      </c>
      <c r="N8" s="31">
        <v>1.853353375</v>
      </c>
      <c r="O8" s="28">
        <f t="shared" ca="1" si="0"/>
        <v>-0.50611597905830041</v>
      </c>
      <c r="P8" s="28">
        <f t="shared" ca="1" si="1"/>
        <v>-0.30165162941690365</v>
      </c>
      <c r="Q8" s="206"/>
    </row>
    <row r="9" spans="1:17" ht="18" customHeight="1">
      <c r="A9" s="172"/>
      <c r="B9" s="29" t="s">
        <v>189</v>
      </c>
      <c r="C9" s="30"/>
      <c r="D9" s="30">
        <v>2959</v>
      </c>
      <c r="E9" s="30">
        <v>1026</v>
      </c>
      <c r="F9" s="30">
        <v>2213</v>
      </c>
      <c r="G9" s="30">
        <v>2108</v>
      </c>
      <c r="H9" s="30">
        <v>2305</v>
      </c>
      <c r="I9" s="30">
        <v>958</v>
      </c>
      <c r="J9" s="30">
        <v>1899</v>
      </c>
      <c r="K9" s="30">
        <v>2087</v>
      </c>
      <c r="L9" s="30">
        <v>2161</v>
      </c>
      <c r="M9" s="30">
        <v>937</v>
      </c>
      <c r="N9" s="30">
        <v>1581</v>
      </c>
      <c r="O9" s="28">
        <f t="shared" si="0"/>
        <v>-0.46569787090233189</v>
      </c>
      <c r="P9" s="28">
        <f t="shared" si="1"/>
        <v>-0.16745655608214849</v>
      </c>
      <c r="Q9" s="206"/>
    </row>
    <row r="10" spans="1:17" ht="18" customHeight="1">
      <c r="A10" s="172"/>
      <c r="B10" s="29" t="s">
        <v>190</v>
      </c>
      <c r="C10" s="30"/>
      <c r="D10" s="30">
        <v>72.254829406738281</v>
      </c>
      <c r="E10" s="30">
        <v>19.917169570922852</v>
      </c>
      <c r="F10" s="30">
        <v>46.881679534912109</v>
      </c>
      <c r="G10" s="30">
        <v>26.903352737426758</v>
      </c>
      <c r="H10" s="30">
        <v>37.144233703613281</v>
      </c>
      <c r="I10" s="30">
        <v>25.143980026245117</v>
      </c>
      <c r="J10" s="30">
        <v>49.436901092529297</v>
      </c>
      <c r="K10" s="30">
        <v>36.52532958984375</v>
      </c>
      <c r="L10" s="30">
        <v>38.872417449951172</v>
      </c>
      <c r="M10" s="30">
        <v>21.89100456237793</v>
      </c>
      <c r="N10" s="30">
        <v>37.685211181640625</v>
      </c>
      <c r="O10" s="32">
        <f t="shared" si="0"/>
        <v>-0.47844024418766107</v>
      </c>
      <c r="P10" s="32">
        <f t="shared" si="1"/>
        <v>-0.23771089310176319</v>
      </c>
      <c r="Q10" s="206"/>
    </row>
    <row r="11" spans="1:17" ht="18" customHeight="1">
      <c r="A11" s="173" t="s">
        <v>191</v>
      </c>
      <c r="B11" s="33" t="s">
        <v>192</v>
      </c>
      <c r="C11" s="34"/>
      <c r="D11" s="34">
        <v>14.90333366394043</v>
      </c>
      <c r="E11" s="34">
        <v>15.695384979248047</v>
      </c>
      <c r="F11" s="34">
        <v>13.67080020904541</v>
      </c>
      <c r="G11" s="34">
        <v>14.626111030578613</v>
      </c>
      <c r="H11" s="34">
        <v>13.912500381469727</v>
      </c>
      <c r="I11" s="34">
        <v>14.433750152587891</v>
      </c>
      <c r="J11" s="34">
        <v>13.92909049987793</v>
      </c>
      <c r="K11" s="34">
        <v>13.770999908447266</v>
      </c>
      <c r="L11" s="34">
        <v>13.731363296508789</v>
      </c>
      <c r="M11" s="34">
        <v>14.041428565979004</v>
      </c>
      <c r="N11" s="34">
        <v>13.92449951171875</v>
      </c>
      <c r="O11" s="28">
        <f t="shared" si="0"/>
        <v>-6.5678872545813796E-2</v>
      </c>
      <c r="P11" s="28">
        <f t="shared" si="1"/>
        <v>-3.2959712331683981E-4</v>
      </c>
      <c r="Q11" s="206"/>
    </row>
    <row r="12" spans="1:17" ht="18" customHeight="1">
      <c r="A12" s="174"/>
      <c r="B12" s="35" t="s">
        <v>184</v>
      </c>
      <c r="C12" s="30"/>
      <c r="D12" s="30">
        <v>185.8148193359375</v>
      </c>
      <c r="E12" s="30">
        <v>201.38461303710938</v>
      </c>
      <c r="F12" s="30">
        <v>182.08000183105469</v>
      </c>
      <c r="G12" s="30">
        <v>190.16667175292969</v>
      </c>
      <c r="H12" s="30">
        <v>189</v>
      </c>
      <c r="I12" s="30">
        <v>205.375</v>
      </c>
      <c r="J12" s="30">
        <v>190.09091186523438</v>
      </c>
      <c r="K12" s="30">
        <v>191.94999694824219</v>
      </c>
      <c r="L12" s="30">
        <v>193.40908813476563</v>
      </c>
      <c r="M12" s="30">
        <v>199.21427917480469</v>
      </c>
      <c r="N12" s="30">
        <v>191.19999694824219</v>
      </c>
      <c r="O12" s="28">
        <f t="shared" si="0"/>
        <v>2.8981421565568145E-2</v>
      </c>
      <c r="P12" s="28">
        <f t="shared" si="1"/>
        <v>5.8344981994410249E-3</v>
      </c>
      <c r="Q12" s="206"/>
    </row>
    <row r="13" spans="1:17" ht="18" customHeight="1">
      <c r="A13" s="174"/>
      <c r="B13" s="35" t="s">
        <v>185</v>
      </c>
      <c r="C13" s="30"/>
      <c r="D13" s="30">
        <v>36.703704833984375</v>
      </c>
      <c r="E13" s="30">
        <v>42.307693481445313</v>
      </c>
      <c r="F13" s="30">
        <v>24.040000915527344</v>
      </c>
      <c r="G13" s="30">
        <v>30.05555534362793</v>
      </c>
      <c r="H13" s="30">
        <v>26.25</v>
      </c>
      <c r="I13" s="30">
        <v>29.625</v>
      </c>
      <c r="J13" s="30">
        <v>26.636363983154297</v>
      </c>
      <c r="K13" s="30">
        <v>24.850000381469727</v>
      </c>
      <c r="L13" s="30">
        <v>24.5</v>
      </c>
      <c r="M13" s="30">
        <v>26.785715103149414</v>
      </c>
      <c r="N13" s="30">
        <v>24.299999237060547</v>
      </c>
      <c r="O13" s="28">
        <f t="shared" si="0"/>
        <v>-0.33794151443369003</v>
      </c>
      <c r="P13" s="28">
        <f t="shared" si="1"/>
        <v>-8.7713351100448353E-2</v>
      </c>
      <c r="Q13" s="206"/>
    </row>
    <row r="14" spans="1:17" ht="18" customHeight="1">
      <c r="A14" s="174"/>
      <c r="B14" s="35" t="s">
        <v>186</v>
      </c>
      <c r="C14" s="30"/>
      <c r="D14" s="30">
        <v>163.91081237792969</v>
      </c>
      <c r="E14" s="30">
        <v>180.01875305175781</v>
      </c>
      <c r="F14" s="30">
        <v>151.5167236328125</v>
      </c>
      <c r="G14" s="30">
        <v>164.71568298339844</v>
      </c>
      <c r="H14" s="30">
        <v>157.91114807128906</v>
      </c>
      <c r="I14" s="30">
        <v>169.56497192382813</v>
      </c>
      <c r="J14" s="30">
        <v>156.81820678710938</v>
      </c>
      <c r="K14" s="30">
        <v>156.32400512695313</v>
      </c>
      <c r="L14" s="30">
        <v>157.56007385253906</v>
      </c>
      <c r="M14" s="30">
        <v>164.62127685546875</v>
      </c>
      <c r="N14" s="30">
        <v>156.61398315429688</v>
      </c>
      <c r="O14" s="28">
        <f t="shared" si="0"/>
        <v>-4.4517070703111943E-2</v>
      </c>
      <c r="P14" s="28">
        <f t="shared" si="1"/>
        <v>-1.3022954221747127E-3</v>
      </c>
      <c r="Q14" s="206"/>
    </row>
    <row r="15" spans="1:17" ht="18" customHeight="1">
      <c r="A15" s="174"/>
      <c r="B15" s="35" t="s">
        <v>187</v>
      </c>
      <c r="C15" s="31"/>
      <c r="D15" s="31">
        <v>64.340835571289063</v>
      </c>
      <c r="E15" s="31">
        <v>46.578830718994141</v>
      </c>
      <c r="F15" s="31">
        <v>65.138450622558594</v>
      </c>
      <c r="G15" s="31">
        <v>61.221271514892578</v>
      </c>
      <c r="H15" s="31">
        <v>70.667152404785156</v>
      </c>
      <c r="I15" s="31">
        <v>82.6353759765625</v>
      </c>
      <c r="J15" s="31">
        <v>37.134632110595703</v>
      </c>
      <c r="K15" s="31">
        <v>23.68018913269043</v>
      </c>
      <c r="L15" s="31">
        <v>44.708568572998047</v>
      </c>
      <c r="M15" s="31">
        <v>25.62190055847168</v>
      </c>
      <c r="N15" s="31">
        <v>43.752361297607422</v>
      </c>
      <c r="O15" s="28">
        <f t="shared" si="0"/>
        <v>-0.3199907817620708</v>
      </c>
      <c r="P15" s="28">
        <f t="shared" si="1"/>
        <v>0.17820909514607708</v>
      </c>
      <c r="Q15" s="206"/>
    </row>
    <row r="16" spans="1:17" ht="18" customHeight="1">
      <c r="A16" s="174"/>
      <c r="B16" s="35" t="s">
        <v>193</v>
      </c>
      <c r="C16" s="31"/>
      <c r="D16" s="31">
        <f ca="1">138.9855*OFFSET(D$112,MATCH($N$1,$C$112:$C$113,0)-1,0)</f>
        <v>138.9855</v>
      </c>
      <c r="E16" s="31">
        <f ca="1">83.5626953125*OFFSET(E$112,MATCH($N$1,$C$112:$C$113,0)-1,0)</f>
        <v>83.562695312499997</v>
      </c>
      <c r="F16" s="31">
        <f ca="1">131.111875*OFFSET(F$112,MATCH($N$1,$C$112:$C$113,0)-1,0)</f>
        <v>131.111875</v>
      </c>
      <c r="G16" s="31">
        <f ca="1">136.316125*OFFSET(G$112,MATCH($N$1,$C$112:$C$113,0)-1,0)</f>
        <v>136.316125</v>
      </c>
      <c r="H16" s="31">
        <f ca="1">74.505234375*OFFSET(H$112,MATCH($N$1,$C$112:$C$113,0)-1,0)</f>
        <v>74.505234375000001</v>
      </c>
      <c r="I16" s="31">
        <f ca="1">110.2032265625*OFFSET(I$112,MATCH($N$1,$C$112:$C$113,0)-1,0)</f>
        <v>110.20322656250001</v>
      </c>
      <c r="J16" s="31">
        <f ca="1">120.6322421875*OFFSET(J$112,MATCH($N$1,$C$112:$C$113,0)-1,0)</f>
        <v>120.6322421875</v>
      </c>
      <c r="K16" s="31">
        <f ca="1">106.5255390625*OFFSET(K$112,MATCH($N$1,$C$112:$C$113,0)-1,0)</f>
        <v>106.5255390625</v>
      </c>
      <c r="L16" s="31">
        <f ca="1">110.7476796875*OFFSET(L$112,MATCH($N$1,$C$112:$C$113,0)-1,0)</f>
        <v>110.7476796875</v>
      </c>
      <c r="M16" s="31">
        <f ca="1">49.0921171875*OFFSET(M$112,MATCH($N$1,$C$112:$C$113,0)-1,0)</f>
        <v>49.092117187500001</v>
      </c>
      <c r="N16" s="31">
        <v>92.667664062500009</v>
      </c>
      <c r="O16" s="28">
        <f t="shared" ca="1" si="0"/>
        <v>-0.33325660545524527</v>
      </c>
      <c r="P16" s="28">
        <f t="shared" ca="1" si="1"/>
        <v>-0.23181678146655305</v>
      </c>
      <c r="Q16" s="206"/>
    </row>
    <row r="17" spans="1:16" ht="18" customHeight="1">
      <c r="A17" s="174"/>
      <c r="B17" s="35" t="s">
        <v>189</v>
      </c>
      <c r="C17" s="30"/>
      <c r="D17" s="30">
        <v>109.59259033203125</v>
      </c>
      <c r="E17" s="30">
        <v>78.923080444335938</v>
      </c>
      <c r="F17" s="30">
        <v>88.519996643066406</v>
      </c>
      <c r="G17" s="30">
        <v>117.11111450195313</v>
      </c>
      <c r="H17" s="30">
        <v>115.25</v>
      </c>
      <c r="I17" s="30">
        <v>119.75</v>
      </c>
      <c r="J17" s="30">
        <v>86.318183898925781</v>
      </c>
      <c r="K17" s="30">
        <v>104.34999847412109</v>
      </c>
      <c r="L17" s="30">
        <v>98.227272033691406</v>
      </c>
      <c r="M17" s="30">
        <v>66.928573608398438</v>
      </c>
      <c r="N17" s="30">
        <v>79.050003051757813</v>
      </c>
      <c r="O17" s="28">
        <f t="shared" si="0"/>
        <v>-0.27869208299337533</v>
      </c>
      <c r="P17" s="28">
        <f t="shared" si="1"/>
        <v>-8.4202198411387347E-2</v>
      </c>
    </row>
    <row r="18" spans="1:16" ht="18" customHeight="1">
      <c r="A18" s="174"/>
      <c r="B18" s="35" t="s">
        <v>194</v>
      </c>
      <c r="C18" s="30"/>
      <c r="D18" s="30">
        <v>17.666666030883789</v>
      </c>
      <c r="E18" s="30">
        <v>20.30769157409668</v>
      </c>
      <c r="F18" s="30">
        <v>16.879999160766602</v>
      </c>
      <c r="G18" s="30">
        <v>19.55555534362793</v>
      </c>
      <c r="H18" s="30">
        <v>18.700000762939453</v>
      </c>
      <c r="I18" s="30">
        <v>20</v>
      </c>
      <c r="J18" s="30">
        <v>20.045454025268555</v>
      </c>
      <c r="K18" s="30">
        <v>19.25</v>
      </c>
      <c r="L18" s="30">
        <v>19.727272033691406</v>
      </c>
      <c r="M18" s="30">
        <v>21.857143402099609</v>
      </c>
      <c r="N18" s="30">
        <v>25.049999237060547</v>
      </c>
      <c r="O18" s="28">
        <f t="shared" si="0"/>
        <v>0.41792453614449182</v>
      </c>
      <c r="P18" s="28">
        <f t="shared" si="1"/>
        <v>0.24965985831418178</v>
      </c>
    </row>
    <row r="19" spans="1:16" ht="18" customHeight="1">
      <c r="A19" s="174"/>
      <c r="B19" s="35" t="s">
        <v>195</v>
      </c>
      <c r="C19" s="36"/>
      <c r="D19" s="36">
        <v>0.58709108829498291</v>
      </c>
      <c r="E19" s="36">
        <v>0.59018009901046753</v>
      </c>
      <c r="F19" s="36">
        <v>0.73586142063140869</v>
      </c>
      <c r="G19" s="36">
        <v>0.5227622389793396</v>
      </c>
      <c r="H19" s="36">
        <v>0.61316400766372681</v>
      </c>
      <c r="I19" s="36">
        <v>0.69006574153900146</v>
      </c>
      <c r="J19" s="36">
        <v>0.43020635843276978</v>
      </c>
      <c r="K19" s="36">
        <v>0.22693042457103729</v>
      </c>
      <c r="L19" s="36">
        <v>0.45515432953834534</v>
      </c>
      <c r="M19" s="36">
        <v>0.38282454013824463</v>
      </c>
      <c r="N19" s="36">
        <v>0.55347704887390137</v>
      </c>
      <c r="O19" s="28">
        <f t="shared" si="0"/>
        <v>-5.7255237034346242E-2</v>
      </c>
      <c r="P19" s="28">
        <f t="shared" si="1"/>
        <v>0.28653851349432263</v>
      </c>
    </row>
    <row r="20" spans="1:16" ht="18" customHeight="1">
      <c r="A20" s="175"/>
      <c r="B20" s="37" t="s">
        <v>196</v>
      </c>
      <c r="C20" s="38"/>
      <c r="D20" s="38">
        <f ca="1">2160*OFFSET(D$112,MATCH($N$1,$C$112:$C$113,0)-1,0)</f>
        <v>2160</v>
      </c>
      <c r="E20" s="38">
        <f ca="1">1794*OFFSET(E$112,MATCH($N$1,$C$112:$C$113,0)-1,0)</f>
        <v>1794</v>
      </c>
      <c r="F20" s="38">
        <f ca="1">2013*OFFSET(F$112,MATCH($N$1,$C$112:$C$113,0)-1,0)</f>
        <v>2013</v>
      </c>
      <c r="G20" s="38">
        <f ca="1">2227*OFFSET(G$112,MATCH($N$1,$C$112:$C$113,0)-1,0)</f>
        <v>2227</v>
      </c>
      <c r="H20" s="38">
        <f ca="1">1054*OFFSET(H$112,MATCH($N$1,$C$112:$C$113,0)-1,0)</f>
        <v>1054</v>
      </c>
      <c r="I20" s="38">
        <f ca="1">1334*OFFSET(I$112,MATCH($N$1,$C$112:$C$113,0)-1,0)</f>
        <v>1334</v>
      </c>
      <c r="J20" s="38">
        <f ca="1">3249*OFFSET(J$112,MATCH($N$1,$C$112:$C$113,0)-1,0)</f>
        <v>3249</v>
      </c>
      <c r="K20" s="38">
        <f ca="1">4499*OFFSET(K$112,MATCH($N$1,$C$112:$C$113,0)-1,0)</f>
        <v>4499</v>
      </c>
      <c r="L20" s="38">
        <f ca="1">2477*OFFSET(L$112,MATCH($N$1,$C$112:$C$113,0)-1,0)</f>
        <v>2477</v>
      </c>
      <c r="M20" s="38">
        <f ca="1">1916*OFFSET(M$112,MATCH($N$1,$C$112:$C$113,0)-1,0)</f>
        <v>1916</v>
      </c>
      <c r="N20" s="38">
        <v>2118</v>
      </c>
      <c r="O20" s="32">
        <f t="shared" ca="1" si="0"/>
        <v>-1.9444444444444445E-2</v>
      </c>
      <c r="P20" s="32">
        <f t="shared" ca="1" si="1"/>
        <v>-0.34810710987996307</v>
      </c>
    </row>
    <row r="21" spans="1:16" ht="18" customHeight="1">
      <c r="A21" s="176" t="s">
        <v>197</v>
      </c>
      <c r="B21" s="33" t="s">
        <v>198</v>
      </c>
      <c r="C21" s="39"/>
      <c r="D21" s="39">
        <v>3.0219101910153179</v>
      </c>
      <c r="E21" s="39">
        <v>3.1895745675305078</v>
      </c>
      <c r="F21" s="39">
        <v>3.9223019947286133</v>
      </c>
      <c r="G21" s="39">
        <v>2.7202065528924475</v>
      </c>
      <c r="H21" s="39">
        <v>3.242810071527813</v>
      </c>
      <c r="I21" s="39">
        <v>3.3062912062321512</v>
      </c>
      <c r="J21" s="39">
        <v>2.1382350529235601</v>
      </c>
      <c r="K21" s="39">
        <v>1.1386183900383613</v>
      </c>
      <c r="L21" s="39">
        <v>2.3021595816806091</v>
      </c>
      <c r="M21" s="39">
        <v>1.9644930464613135</v>
      </c>
      <c r="N21" s="39">
        <v>2.834867979398076</v>
      </c>
      <c r="O21" s="28">
        <f t="shared" si="0"/>
        <v>-6.1895357503790813E-2</v>
      </c>
      <c r="P21" s="28">
        <f t="shared" si="1"/>
        <v>0.3257981041523127</v>
      </c>
    </row>
    <row r="22" spans="1:16" ht="18" customHeight="1">
      <c r="A22" s="176"/>
      <c r="B22" s="35" t="s">
        <v>199</v>
      </c>
      <c r="C22" s="36"/>
      <c r="D22" s="36">
        <f ca="1">6.52776258070198*OFFSET(D$112,MATCH($N$1,$C$112:$C$113,0)-1,0)</f>
        <v>6.5277625807019799</v>
      </c>
      <c r="E22" s="36">
        <f ca="1">5.72211546852687*OFFSET(E$112,MATCH($N$1,$C$112:$C$113,0)-1,0)</f>
        <v>5.7221154685268703</v>
      </c>
      <c r="F22" s="36">
        <f ca="1">7.89488180836483*OFFSET(F$112,MATCH($N$1,$C$112:$C$113,0)-1,0)</f>
        <v>7.89488180836483</v>
      </c>
      <c r="G22" s="36">
        <f ca="1">6.05684931584121*OFFSET(G$112,MATCH($N$1,$C$112:$C$113,0)-1,0)</f>
        <v>6.0568493158412098</v>
      </c>
      <c r="H22" s="36">
        <f ca="1">3.41893392037161*OFFSET(H$112,MATCH($N$1,$C$112:$C$113,0)-1,0)</f>
        <v>3.41893392037161</v>
      </c>
      <c r="I22" s="36">
        <f ca="1">4.40929752634448*OFFSET(I$112,MATCH($N$1,$C$112:$C$113,0)-1,0)</f>
        <v>4.4092975263444796</v>
      </c>
      <c r="J22" s="36">
        <f ca="1">6.94607901297824*OFFSET(J$112,MATCH($N$1,$C$112:$C$113,0)-1,0)</f>
        <v>6.9460790129782399</v>
      </c>
      <c r="K22" s="36">
        <f ca="1">5.12208484086257*OFFSET(K$112,MATCH($N$1,$C$112:$C$113,0)-1,0)</f>
        <v>5.1220848408625699</v>
      </c>
      <c r="L22" s="36">
        <f ca="1">5.70268384963362*OFFSET(L$112,MATCH($N$1,$C$112:$C$113,0)-1,0)</f>
        <v>5.7026838496336199</v>
      </c>
      <c r="M22" s="36">
        <f ca="1">3.76401128522139*OFFSET(M$112,MATCH($N$1,$C$112:$C$113,0)-1,0)</f>
        <v>3.7640112852213901</v>
      </c>
      <c r="N22" s="36">
        <v>6.004260930958365</v>
      </c>
      <c r="O22" s="28">
        <f t="shared" ca="1" si="0"/>
        <v>-8.0196184109275426E-2</v>
      </c>
      <c r="P22" s="28">
        <f t="shared" ca="1" si="1"/>
        <v>-0.13558988895176066</v>
      </c>
    </row>
    <row r="23" spans="1:16" ht="18" customHeight="1">
      <c r="A23" s="176"/>
      <c r="B23" s="35" t="s">
        <v>154</v>
      </c>
      <c r="C23" s="36"/>
      <c r="D23" s="36">
        <f ca="1">7.12421719770815*OFFSET(D$112,MATCH($N$1,$C$112:$C$113,0)-1,0)</f>
        <v>7.1242171977081501</v>
      </c>
      <c r="E23" s="36">
        <f ca="1">7.75836871140024*OFFSET(E$112,MATCH($N$1,$C$112:$C$113,0)-1,0)</f>
        <v>7.75836871140024</v>
      </c>
      <c r="F23" s="36">
        <f ca="1">8.07319955836171*OFFSET(F$112,MATCH($N$1,$C$112:$C$113,0)-1,0)</f>
        <v>8.0731995583617095</v>
      </c>
      <c r="G23" s="36">
        <f ca="1">6.92774731585492*OFFSET(G$112,MATCH($N$1,$C$112:$C$113,0)-1,0)</f>
        <v>6.9277473158549201</v>
      </c>
      <c r="H23" s="36">
        <f ca="1">5.77554316038087*OFFSET(H$112,MATCH($N$1,$C$112:$C$113,0)-1,0)</f>
        <v>5.7755431603808702</v>
      </c>
      <c r="I23" s="36">
        <f ca="1">4.70310376512471*OFFSET(I$112,MATCH($N$1,$C$112:$C$113,0)-1,0)</f>
        <v>4.7031037651247098</v>
      </c>
      <c r="J23" s="36">
        <f ca="1">7.65187663189599*OFFSET(J$112,MATCH($N$1,$C$112:$C$113,0)-1,0)</f>
        <v>7.6518766318959903</v>
      </c>
      <c r="K23" s="36">
        <f ca="1">5.48582597928592*OFFSET(K$112,MATCH($N$1,$C$112:$C$113,0)-1,0)</f>
        <v>5.4858259792859201</v>
      </c>
      <c r="L23" s="36">
        <f ca="1">5.66072021224598*OFFSET(L$112,MATCH($N$1,$C$112:$C$113,0)-1,0)</f>
        <v>5.6607202122459803</v>
      </c>
      <c r="M23" s="36">
        <f ca="1">6.42534023385087*OFFSET(M$112,MATCH($N$1,$C$112:$C$113,0)-1,0)</f>
        <v>6.4253402338508696</v>
      </c>
      <c r="N23" s="36">
        <v>7.8192142802816846</v>
      </c>
      <c r="O23" s="28">
        <f t="shared" ca="1" si="0"/>
        <v>9.7554168168414918E-2</v>
      </c>
      <c r="P23" s="28">
        <f t="shared" ca="1" si="1"/>
        <v>2.1868837729056696E-2</v>
      </c>
    </row>
    <row r="24" spans="1:16" ht="18" customHeight="1">
      <c r="A24" s="176"/>
      <c r="B24" s="35" t="s">
        <v>155</v>
      </c>
      <c r="C24" s="36"/>
      <c r="D24" s="36">
        <f ca="1">-0.271555569009707*OFFSET(D$112,MATCH($N$1,$C$112:$C$113,0)-1,0)</f>
        <v>-0.27155556900970701</v>
      </c>
      <c r="E24" s="36">
        <f ca="1">-1.68989387081469*OFFSET(E$112,MATCH($N$1,$C$112:$C$113,0)-1,0)</f>
        <v>-1.68989387081469</v>
      </c>
      <c r="F24" s="36">
        <f ca="1">0.17222840574365*OFFSET(F$112,MATCH($N$1,$C$112:$C$113,0)-1,0)</f>
        <v>0.17222840574365</v>
      </c>
      <c r="G24" s="36">
        <f ca="1">-0.454070157506698*OFFSET(G$112,MATCH($N$1,$C$112:$C$113,0)-1,0)</f>
        <v>-0.45407015750669799</v>
      </c>
      <c r="H24" s="36">
        <f ca="1">-2.19254763486874*OFFSET(H$112,MATCH($N$1,$C$112:$C$113,0)-1,0)</f>
        <v>-2.19254763486874</v>
      </c>
      <c r="I24" s="36">
        <f ca="1">0.0069584443295442*OFFSET(I$112,MATCH($N$1,$C$112:$C$113,0)-1,0)</f>
        <v>6.9584443295442003E-3</v>
      </c>
      <c r="J24" s="36">
        <f ca="1">0.0768534871867943*OFFSET(J$112,MATCH($N$1,$C$112:$C$113,0)-1,0)</f>
        <v>7.68534871867943E-2</v>
      </c>
      <c r="K24" s="36">
        <f ca="1">0.0630225228765978*OFFSET(K$112,MATCH($N$1,$C$112:$C$113,0)-1,0)</f>
        <v>6.3022522876597806E-2</v>
      </c>
      <c r="L24" s="36">
        <f ca="1">0.517101872841485*OFFSET(L$112,MATCH($N$1,$C$112:$C$113,0)-1,0)</f>
        <v>0.51710187284148501</v>
      </c>
      <c r="M24" s="36">
        <f ca="1">-2.66132894862948*OFFSET(M$112,MATCH($N$1,$C$112:$C$113,0)-1,0)</f>
        <v>-2.66132894862948</v>
      </c>
      <c r="N24" s="36">
        <v>-1.2705144463529556</v>
      </c>
      <c r="O24" s="28">
        <f t="shared" ca="1" si="0"/>
        <v>-3.6786536213792025</v>
      </c>
      <c r="P24" s="28">
        <f t="shared" ca="1" si="1"/>
        <v>-17.531643427772366</v>
      </c>
    </row>
    <row r="25" spans="1:16" ht="18" customHeight="1">
      <c r="A25" s="176"/>
      <c r="B25" s="35" t="s">
        <v>200</v>
      </c>
      <c r="C25" s="31"/>
      <c r="D25" s="31">
        <f ca="1">51.94*OFFSET(D$112,MATCH($N$1,$C$112:$C$113,0)-1,0)</f>
        <v>51.94</v>
      </c>
      <c r="E25" s="31">
        <f ca="1">54.57*OFFSET(E$112,MATCH($N$1,$C$112:$C$113,0)-1,0)</f>
        <v>54.57</v>
      </c>
      <c r="F25" s="31">
        <f ca="1">69.91*OFFSET(F$112,MATCH($N$1,$C$112:$C$113,0)-1,0)</f>
        <v>69.91</v>
      </c>
      <c r="G25" s="31">
        <f ca="1">91.19*OFFSET(G$112,MATCH($N$1,$C$112:$C$113,0)-1,0)</f>
        <v>91.19</v>
      </c>
      <c r="H25" s="31">
        <f ca="1">40.11*OFFSET(H$112,MATCH($N$1,$C$112:$C$113,0)-1,0)</f>
        <v>40.11</v>
      </c>
      <c r="I25" s="31">
        <f ca="1">35.06*OFFSET(I$112,MATCH($N$1,$C$112:$C$113,0)-1,0)</f>
        <v>35.06</v>
      </c>
      <c r="J25" s="31">
        <f ca="1">53.67*OFFSET(J$112,MATCH($N$1,$C$112:$C$113,0)-1,0)</f>
        <v>53.67</v>
      </c>
      <c r="K25" s="31">
        <f ca="1">58.32*OFFSET(K$112,MATCH($N$1,$C$112:$C$113,0)-1,0)</f>
        <v>58.32</v>
      </c>
      <c r="L25" s="31">
        <f ca="1">62.65*OFFSET(L$112,MATCH($N$1,$C$112:$C$113,0)-1,0)</f>
        <v>62.65</v>
      </c>
      <c r="M25" s="31">
        <f ca="1">31.4*OFFSET(M$112,MATCH($N$1,$C$112:$C$113,0)-1,0)</f>
        <v>31.4</v>
      </c>
      <c r="N25" s="31">
        <v>49.2</v>
      </c>
      <c r="O25" s="28">
        <f t="shared" ca="1" si="0"/>
        <v>-5.2753176742394978E-2</v>
      </c>
      <c r="P25" s="28">
        <f t="shared" ca="1" si="1"/>
        <v>-8.3286752375628825E-2</v>
      </c>
    </row>
    <row r="26" spans="1:16" ht="18" customHeight="1">
      <c r="A26" s="177"/>
      <c r="B26" s="35" t="s">
        <v>201</v>
      </c>
      <c r="C26" s="31"/>
      <c r="D26" s="31">
        <f ca="1">-2.17*OFFSET(D$112,MATCH($N$1,$C$112:$C$113,0)-1,0)</f>
        <v>-2.17</v>
      </c>
      <c r="E26" s="31">
        <f ca="1">-16.12*OFFSET(E$112,MATCH($N$1,$C$112:$C$113,0)-1,0)</f>
        <v>-16.12</v>
      </c>
      <c r="F26" s="31">
        <f ca="1">1.55*OFFSET(F$112,MATCH($N$1,$C$112:$C$113,0)-1,0)</f>
        <v>1.55</v>
      </c>
      <c r="G26" s="31">
        <f ca="1">-6.82*OFFSET(G$112,MATCH($N$1,$C$112:$C$113,0)-1,0)</f>
        <v>-6.82</v>
      </c>
      <c r="H26" s="31">
        <f ca="1">-25.74*OFFSET(H$112,MATCH($N$1,$C$112:$C$113,0)-1,0)</f>
        <v>-25.74</v>
      </c>
      <c r="I26" s="31">
        <f ca="1">0.06*OFFSET(I$112,MATCH($N$1,$C$112:$C$113,0)-1,0)</f>
        <v>0.06</v>
      </c>
      <c r="J26" s="31">
        <f ca="1">0.58*OFFSET(J$112,MATCH($N$1,$C$112:$C$113,0)-1,0)</f>
        <v>0.57999999999999996</v>
      </c>
      <c r="K26" s="31">
        <f ca="1">0.71*OFFSET(K$112,MATCH($N$1,$C$112:$C$113,0)-1,0)</f>
        <v>0.71</v>
      </c>
      <c r="L26" s="31">
        <f ca="1">5.66*OFFSET(L$112,MATCH($N$1,$C$112:$C$113,0)-1,0)</f>
        <v>5.66</v>
      </c>
      <c r="M26" s="31">
        <f ca="1">-22.19*OFFSET(M$112,MATCH($N$1,$C$112:$C$113,0)-1,0)</f>
        <v>-22.19</v>
      </c>
      <c r="N26" s="31">
        <v>-10.4</v>
      </c>
      <c r="O26" s="32">
        <f t="shared" ca="1" si="0"/>
        <v>-3.7926267281105992</v>
      </c>
      <c r="P26" s="32">
        <f t="shared" ca="1" si="1"/>
        <v>-18.931034482758623</v>
      </c>
    </row>
    <row r="27" spans="1:16" ht="18" customHeight="1">
      <c r="A27" s="166" t="s">
        <v>202</v>
      </c>
      <c r="B27" s="33" t="s">
        <v>193</v>
      </c>
      <c r="C27" s="34"/>
      <c r="D27" s="34">
        <f ca="1">139*OFFSET(D$112,MATCH($N$1,$C$112:$C$113,0)-1,0)</f>
        <v>139</v>
      </c>
      <c r="E27" s="34">
        <f ca="1">83.6*OFFSET(E$112,MATCH($N$1,$C$112:$C$113,0)-1,0)</f>
        <v>83.6</v>
      </c>
      <c r="F27" s="34">
        <f ca="1">131.1*OFFSET(F$112,MATCH($N$1,$C$112:$C$113,0)-1,0)</f>
        <v>131.1</v>
      </c>
      <c r="G27" s="34">
        <f ca="1">136.3*OFFSET(G$112,MATCH($N$1,$C$112:$C$113,0)-1,0)</f>
        <v>136.30000000000001</v>
      </c>
      <c r="H27" s="34">
        <f ca="1">74.5*OFFSET(H$112,MATCH($N$1,$C$112:$C$113,0)-1,0)</f>
        <v>74.5</v>
      </c>
      <c r="I27" s="34">
        <f ca="1">110.2*OFFSET(I$112,MATCH($N$1,$C$112:$C$113,0)-1,0)</f>
        <v>110.2</v>
      </c>
      <c r="J27" s="34">
        <f ca="1">120.6*OFFSET(J$112,MATCH($N$1,$C$112:$C$113,0)-1,0)</f>
        <v>120.6</v>
      </c>
      <c r="K27" s="34">
        <f ca="1">106.5*OFFSET(K$112,MATCH($N$1,$C$112:$C$113,0)-1,0)</f>
        <v>106.5</v>
      </c>
      <c r="L27" s="34">
        <f ca="1">110.7*OFFSET(L$112,MATCH($N$1,$C$112:$C$113,0)-1,0)</f>
        <v>110.7</v>
      </c>
      <c r="M27" s="34">
        <f ca="1">49.1*OFFSET(M$112,MATCH($N$1,$C$112:$C$113,0)-1,0)</f>
        <v>49.1</v>
      </c>
      <c r="N27" s="34">
        <v>92.7</v>
      </c>
      <c r="O27" s="28">
        <f t="shared" ca="1" si="0"/>
        <v>-0.33309352517985608</v>
      </c>
      <c r="P27" s="28">
        <f t="shared" ca="1" si="1"/>
        <v>-0.2313432835820895</v>
      </c>
    </row>
    <row r="28" spans="1:16" ht="18" customHeight="1">
      <c r="A28" s="178"/>
      <c r="B28" s="35" t="s">
        <v>203</v>
      </c>
      <c r="C28" s="31"/>
      <c r="D28" s="31">
        <f ca="1">6.9*OFFSET(D$112,MATCH($N$1,$C$112:$C$113,0)-1,0)</f>
        <v>6.9</v>
      </c>
      <c r="E28" s="31">
        <f ca="1">5.1*OFFSET(E$112,MATCH($N$1,$C$112:$C$113,0)-1,0)</f>
        <v>5.0999999999999996</v>
      </c>
      <c r="F28" s="31">
        <f ca="1">5.8*OFFSET(F$112,MATCH($N$1,$C$112:$C$113,0)-1,0)</f>
        <v>5.8</v>
      </c>
      <c r="G28" s="31">
        <f ca="1">9.4*OFFSET(G$112,MATCH($N$1,$C$112:$C$113,0)-1,0)</f>
        <v>9.4</v>
      </c>
      <c r="H28" s="31">
        <f ca="1">3.6*OFFSET(H$112,MATCH($N$1,$C$112:$C$113,0)-1,0)</f>
        <v>3.6</v>
      </c>
      <c r="I28" s="31">
        <f ca="1">7.5*OFFSET(I$112,MATCH($N$1,$C$112:$C$113,0)-1,0)</f>
        <v>7.5</v>
      </c>
      <c r="J28" s="31">
        <f ca="1">13.6*OFFSET(J$112,MATCH($N$1,$C$112:$C$113,0)-1,0)</f>
        <v>13.6</v>
      </c>
      <c r="K28" s="31">
        <f ca="1">8.9*OFFSET(K$112,MATCH($N$1,$C$112:$C$113,0)-1,0)</f>
        <v>8.9</v>
      </c>
      <c r="L28" s="31">
        <f ca="1">9.2*OFFSET(L$112,MATCH($N$1,$C$112:$C$113,0)-1,0)</f>
        <v>9.1999999999999993</v>
      </c>
      <c r="M28" s="31"/>
      <c r="N28" s="31">
        <v>8.4</v>
      </c>
      <c r="O28" s="28">
        <f t="shared" ca="1" si="0"/>
        <v>0.21739130434782608</v>
      </c>
      <c r="P28" s="28">
        <f t="shared" ca="1" si="1"/>
        <v>-0.38235294117647056</v>
      </c>
    </row>
    <row r="29" spans="1:16" ht="18" customHeight="1">
      <c r="A29" s="178"/>
      <c r="B29" s="40" t="s">
        <v>204</v>
      </c>
      <c r="C29" s="41"/>
      <c r="D29" s="41">
        <f ca="1">145.9*OFFSET(D$112,MATCH($N$1,$C$112:$C$113,0)-1,0)</f>
        <v>145.9</v>
      </c>
      <c r="E29" s="41">
        <f ca="1">88.6*OFFSET(E$112,MATCH($N$1,$C$112:$C$113,0)-1,0)</f>
        <v>88.6</v>
      </c>
      <c r="F29" s="41">
        <f ca="1">136.9*OFFSET(F$112,MATCH($N$1,$C$112:$C$113,0)-1,0)</f>
        <v>136.9</v>
      </c>
      <c r="G29" s="41">
        <f ca="1">145.7*OFFSET(G$112,MATCH($N$1,$C$112:$C$113,0)-1,0)</f>
        <v>145.69999999999999</v>
      </c>
      <c r="H29" s="41">
        <f ca="1">78.1*OFFSET(H$112,MATCH($N$1,$C$112:$C$113,0)-1,0)</f>
        <v>78.099999999999994</v>
      </c>
      <c r="I29" s="41">
        <f ca="1">117.7*OFFSET(I$112,MATCH($N$1,$C$112:$C$113,0)-1,0)</f>
        <v>117.7</v>
      </c>
      <c r="J29" s="41">
        <f ca="1">134.2*OFFSET(J$112,MATCH($N$1,$C$112:$C$113,0)-1,0)</f>
        <v>134.19999999999999</v>
      </c>
      <c r="K29" s="41">
        <f ca="1">115.4*OFFSET(K$112,MATCH($N$1,$C$112:$C$113,0)-1,0)</f>
        <v>115.4</v>
      </c>
      <c r="L29" s="41">
        <f ca="1">120*OFFSET(L$112,MATCH($N$1,$C$112:$C$113,0)-1,0)</f>
        <v>120</v>
      </c>
      <c r="M29" s="41">
        <f ca="1">49.1*OFFSET(M$112,MATCH($N$1,$C$112:$C$113,0)-1,0)</f>
        <v>49.1</v>
      </c>
      <c r="N29" s="41">
        <v>101.10000000000001</v>
      </c>
      <c r="O29" s="28">
        <f t="shared" ca="1" si="0"/>
        <v>-0.30705962988348179</v>
      </c>
      <c r="P29" s="28">
        <f t="shared" ca="1" si="1"/>
        <v>-0.24664679582712357</v>
      </c>
    </row>
    <row r="30" spans="1:16" ht="18" customHeight="1">
      <c r="A30" s="178"/>
      <c r="B30" s="35" t="s">
        <v>205</v>
      </c>
      <c r="C30" s="31"/>
      <c r="D30" s="31">
        <f ca="1">60.1*OFFSET(D$112,MATCH($N$1,$C$112:$C$113,0)-1,0)</f>
        <v>60.1</v>
      </c>
      <c r="E30" s="31">
        <f ca="1">55.4*OFFSET(E$112,MATCH($N$1,$C$112:$C$113,0)-1,0)</f>
        <v>55.4</v>
      </c>
      <c r="F30" s="31">
        <f ca="1">61.2*OFFSET(F$112,MATCH($N$1,$C$112:$C$113,0)-1,0)</f>
        <v>61.2</v>
      </c>
      <c r="G30" s="31">
        <f ca="1">81.7*OFFSET(G$112,MATCH($N$1,$C$112:$C$113,0)-1,0)</f>
        <v>81.7</v>
      </c>
      <c r="H30" s="31">
        <f ca="1">70.7*OFFSET(H$112,MATCH($N$1,$C$112:$C$113,0)-1,0)</f>
        <v>70.7</v>
      </c>
      <c r="I30" s="31">
        <f ca="1">54.6*OFFSET(I$112,MATCH($N$1,$C$112:$C$113,0)-1,0)</f>
        <v>54.6</v>
      </c>
      <c r="J30" s="31">
        <f ca="1">36.7*OFFSET(J$112,MATCH($N$1,$C$112:$C$113,0)-1,0)</f>
        <v>36.700000000000003</v>
      </c>
      <c r="K30" s="31">
        <f ca="1">52*OFFSET(K$112,MATCH($N$1,$C$112:$C$113,0)-1,0)</f>
        <v>52</v>
      </c>
      <c r="L30" s="31">
        <f ca="1">56*OFFSET(L$112,MATCH($N$1,$C$112:$C$113,0)-1,0)</f>
        <v>56</v>
      </c>
      <c r="M30" s="31">
        <f ca="1">37.9*OFFSET(M$112,MATCH($N$1,$C$112:$C$113,0)-1,0)</f>
        <v>37.9</v>
      </c>
      <c r="N30" s="31">
        <v>33.200000000000003</v>
      </c>
      <c r="O30" s="28">
        <f t="shared" ca="1" si="0"/>
        <v>-0.44758735440931779</v>
      </c>
      <c r="P30" s="28">
        <f t="shared" ca="1" si="1"/>
        <v>-9.5367847411444134E-2</v>
      </c>
    </row>
    <row r="31" spans="1:16" ht="18" customHeight="1">
      <c r="A31" s="178"/>
      <c r="B31" s="35" t="s">
        <v>206</v>
      </c>
      <c r="C31" s="31"/>
      <c r="D31" s="31">
        <f ca="1">27.9*OFFSET(D$112,MATCH($N$1,$C$112:$C$113,0)-1,0)</f>
        <v>27.9</v>
      </c>
      <c r="E31" s="31">
        <f ca="1">14*OFFSET(E$112,MATCH($N$1,$C$112:$C$113,0)-1,0)</f>
        <v>14</v>
      </c>
      <c r="F31" s="31">
        <f ca="1">23.2*OFFSET(F$112,MATCH($N$1,$C$112:$C$113,0)-1,0)</f>
        <v>23.2</v>
      </c>
      <c r="G31" s="31">
        <f ca="1">21.5*OFFSET(G$112,MATCH($N$1,$C$112:$C$113,0)-1,0)</f>
        <v>21.5</v>
      </c>
      <c r="H31" s="31">
        <f ca="1">11.2*OFFSET(H$112,MATCH($N$1,$C$112:$C$113,0)-1,0)</f>
        <v>11.2</v>
      </c>
      <c r="I31" s="31">
        <f ca="1">12.7*OFFSET(I$112,MATCH($N$1,$C$112:$C$113,0)-1,0)</f>
        <v>12.7</v>
      </c>
      <c r="J31" s="31">
        <f ca="1">19.2*OFFSET(J$112,MATCH($N$1,$C$112:$C$113,0)-1,0)</f>
        <v>19.2</v>
      </c>
      <c r="K31" s="31">
        <f ca="1">21.9*OFFSET(K$112,MATCH($N$1,$C$112:$C$113,0)-1,0)</f>
        <v>21.9</v>
      </c>
      <c r="L31" s="31">
        <f ca="1">21.1*OFFSET(L$112,MATCH($N$1,$C$112:$C$113,0)-1,0)</f>
        <v>21.1</v>
      </c>
      <c r="M31" s="31">
        <f ca="1">23.5*OFFSET(M$112,MATCH($N$1,$C$112:$C$113,0)-1,0)</f>
        <v>23.5</v>
      </c>
      <c r="N31" s="31">
        <v>49.9</v>
      </c>
      <c r="O31" s="28">
        <f t="shared" ca="1" si="0"/>
        <v>0.78853046594982079</v>
      </c>
      <c r="P31" s="28">
        <f t="shared" ca="1" si="1"/>
        <v>1.5989583333333333</v>
      </c>
    </row>
    <row r="32" spans="1:16" ht="18" customHeight="1">
      <c r="A32" s="178"/>
      <c r="B32" s="35" t="s">
        <v>207</v>
      </c>
      <c r="C32" s="31"/>
      <c r="D32" s="31">
        <f ca="1">46.3*OFFSET(D$112,MATCH($N$1,$C$112:$C$113,0)-1,0)</f>
        <v>46.3</v>
      </c>
      <c r="E32" s="31">
        <f ca="1">24.8*OFFSET(E$112,MATCH($N$1,$C$112:$C$113,0)-1,0)</f>
        <v>24.8</v>
      </c>
      <c r="F32" s="31">
        <f ca="1">43.4*OFFSET(F$112,MATCH($N$1,$C$112:$C$113,0)-1,0)</f>
        <v>43.4</v>
      </c>
      <c r="G32" s="31">
        <f ca="1">45.3*OFFSET(G$112,MATCH($N$1,$C$112:$C$113,0)-1,0)</f>
        <v>45.3</v>
      </c>
      <c r="H32" s="31">
        <f ca="1">35.2*OFFSET(H$112,MATCH($N$1,$C$112:$C$113,0)-1,0)</f>
        <v>35.200000000000003</v>
      </c>
      <c r="I32" s="31">
        <f ca="1">44.4*OFFSET(I$112,MATCH($N$1,$C$112:$C$113,0)-1,0)</f>
        <v>44.4</v>
      </c>
      <c r="J32" s="31">
        <f ca="1">49.6*OFFSET(J$112,MATCH($N$1,$C$112:$C$113,0)-1,0)</f>
        <v>49.6</v>
      </c>
      <c r="K32" s="31">
        <f ca="1">28.5*OFFSET(K$112,MATCH($N$1,$C$112:$C$113,0)-1,0)</f>
        <v>28.5</v>
      </c>
      <c r="L32" s="31">
        <f ca="1">23.2*OFFSET(L$112,MATCH($N$1,$C$112:$C$113,0)-1,0)</f>
        <v>23.2</v>
      </c>
      <c r="M32" s="31"/>
      <c r="N32" s="31">
        <v>20.100000000000001</v>
      </c>
      <c r="O32" s="28">
        <f t="shared" ca="1" si="0"/>
        <v>-0.56587473002159816</v>
      </c>
      <c r="P32" s="28">
        <f t="shared" ca="1" si="1"/>
        <v>-0.594758064516129</v>
      </c>
    </row>
    <row r="33" spans="1:16" ht="18" customHeight="1">
      <c r="A33" s="178"/>
      <c r="B33" s="35" t="s">
        <v>208</v>
      </c>
      <c r="C33" s="31"/>
      <c r="D33" s="31">
        <f ca="1">134.3*OFFSET(D$112,MATCH($N$1,$C$112:$C$113,0)-1,0)</f>
        <v>134.30000000000001</v>
      </c>
      <c r="E33" s="31">
        <f ca="1">94.2*OFFSET(E$112,MATCH($N$1,$C$112:$C$113,0)-1,0)</f>
        <v>94.2</v>
      </c>
      <c r="F33" s="31">
        <f ca="1">127.8*OFFSET(F$112,MATCH($N$1,$C$112:$C$113,0)-1,0)</f>
        <v>127.8</v>
      </c>
      <c r="G33" s="31">
        <f ca="1">148.5*OFFSET(G$112,MATCH($N$1,$C$112:$C$113,0)-1,0)</f>
        <v>148.5</v>
      </c>
      <c r="H33" s="31">
        <f ca="1">117.1*OFFSET(H$112,MATCH($N$1,$C$112:$C$113,0)-1,0)</f>
        <v>117.1</v>
      </c>
      <c r="I33" s="31">
        <f ca="1">111.6*OFFSET(I$112,MATCH($N$1,$C$112:$C$113,0)-1,0)</f>
        <v>111.6</v>
      </c>
      <c r="J33" s="31">
        <f ca="1">105.5*OFFSET(J$112,MATCH($N$1,$C$112:$C$113,0)-1,0)</f>
        <v>105.5</v>
      </c>
      <c r="K33" s="31">
        <f ca="1">102.4*OFFSET(K$112,MATCH($N$1,$C$112:$C$113,0)-1,0)</f>
        <v>102.4</v>
      </c>
      <c r="L33" s="31">
        <f ca="1">100.4*OFFSET(L$112,MATCH($N$1,$C$112:$C$113,0)-1,0)</f>
        <v>100.4</v>
      </c>
      <c r="M33" s="31">
        <f ca="1">61.4*OFFSET(M$112,MATCH($N$1,$C$112:$C$113,0)-1,0)</f>
        <v>61.4</v>
      </c>
      <c r="N33" s="31">
        <v>103.3</v>
      </c>
      <c r="O33" s="28">
        <f t="shared" ca="1" si="0"/>
        <v>-0.23082650781831729</v>
      </c>
      <c r="P33" s="28">
        <f t="shared" ca="1" si="1"/>
        <v>-2.0853080568720407E-2</v>
      </c>
    </row>
    <row r="34" spans="1:16" ht="18" customHeight="1">
      <c r="A34" s="178"/>
      <c r="B34" s="35" t="s">
        <v>209</v>
      </c>
      <c r="C34" s="31"/>
      <c r="D34" s="31">
        <f ca="1">17.4*OFFSET(D$112,MATCH($N$1,$C$112:$C$113,0)-1,0)</f>
        <v>17.399999999999999</v>
      </c>
      <c r="E34" s="31">
        <f ca="1">19.1*OFFSET(E$112,MATCH($N$1,$C$112:$C$113,0)-1,0)</f>
        <v>19.100000000000001</v>
      </c>
      <c r="F34" s="31">
        <f ca="1">6.2*OFFSET(F$112,MATCH($N$1,$C$112:$C$113,0)-1,0)</f>
        <v>6.2</v>
      </c>
      <c r="G34" s="31">
        <f ca="1">7.5*OFFSET(G$112,MATCH($N$1,$C$112:$C$113,0)-1,0)</f>
        <v>7.5</v>
      </c>
      <c r="H34" s="31">
        <f ca="1">8.7*OFFSET(H$112,MATCH($N$1,$C$112:$C$113,0)-1,0)</f>
        <v>8.6999999999999993</v>
      </c>
      <c r="I34" s="31">
        <f ca="1">5.9*OFFSET(I$112,MATCH($N$1,$C$112:$C$113,0)-1,0)</f>
        <v>5.9</v>
      </c>
      <c r="J34" s="31">
        <f ca="1">27.4*OFFSET(J$112,MATCH($N$1,$C$112:$C$113,0)-1,0)</f>
        <v>27.4</v>
      </c>
      <c r="K34" s="31">
        <f ca="1">11.7*OFFSET(K$112,MATCH($N$1,$C$112:$C$113,0)-1,0)</f>
        <v>11.7</v>
      </c>
      <c r="L34" s="31">
        <f ca="1">9.6*OFFSET(L$112,MATCH($N$1,$C$112:$C$113,0)-1,0)</f>
        <v>9.6</v>
      </c>
      <c r="M34" s="31">
        <f ca="1">22.4*OFFSET(M$112,MATCH($N$1,$C$112:$C$113,0)-1,0)</f>
        <v>22.4</v>
      </c>
      <c r="N34" s="31">
        <v>17.400000000000002</v>
      </c>
      <c r="O34" s="28">
        <f t="shared" ca="1" si="0"/>
        <v>2.0417894705750008E-16</v>
      </c>
      <c r="P34" s="28">
        <f t="shared" ca="1" si="1"/>
        <v>-0.36496350364963492</v>
      </c>
    </row>
    <row r="35" spans="1:16" ht="18" customHeight="1">
      <c r="A35" s="178"/>
      <c r="B35" s="35" t="s">
        <v>210</v>
      </c>
      <c r="C35" s="31"/>
      <c r="D35" s="31">
        <f ca="1">151.7*OFFSET(D$112,MATCH($N$1,$C$112:$C$113,0)-1,0)</f>
        <v>151.69999999999999</v>
      </c>
      <c r="E35" s="31">
        <f ca="1">113.3*OFFSET(E$112,MATCH($N$1,$C$112:$C$113,0)-1,0)</f>
        <v>113.3</v>
      </c>
      <c r="F35" s="31">
        <f ca="1">134.1*OFFSET(F$112,MATCH($N$1,$C$112:$C$113,0)-1,0)</f>
        <v>134.1</v>
      </c>
      <c r="G35" s="31">
        <f ca="1">155.9*OFFSET(G$112,MATCH($N$1,$C$112:$C$113,0)-1,0)</f>
        <v>155.9</v>
      </c>
      <c r="H35" s="31">
        <f ca="1">125.9*OFFSET(H$112,MATCH($N$1,$C$112:$C$113,0)-1,0)</f>
        <v>125.9</v>
      </c>
      <c r="I35" s="31">
        <f ca="1">117.5*OFFSET(I$112,MATCH($N$1,$C$112:$C$113,0)-1,0)</f>
        <v>117.5</v>
      </c>
      <c r="J35" s="31">
        <f ca="1">132.9*OFFSET(J$112,MATCH($N$1,$C$112:$C$113,0)-1,0)</f>
        <v>132.9</v>
      </c>
      <c r="K35" s="31">
        <f ca="1">114.1*OFFSET(K$112,MATCH($N$1,$C$112:$C$113,0)-1,0)</f>
        <v>114.1</v>
      </c>
      <c r="L35" s="31">
        <f ca="1">109.9*OFFSET(L$112,MATCH($N$1,$C$112:$C$113,0)-1,0)</f>
        <v>109.9</v>
      </c>
      <c r="M35" s="31">
        <f ca="1">83.8*OFFSET(M$112,MATCH($N$1,$C$112:$C$113,0)-1,0)</f>
        <v>83.8</v>
      </c>
      <c r="N35" s="31">
        <v>120.7</v>
      </c>
      <c r="O35" s="28">
        <f t="shared" ca="1" si="0"/>
        <v>-0.20435069215557011</v>
      </c>
      <c r="P35" s="28">
        <f t="shared" ca="1" si="1"/>
        <v>-9.1798344620015071E-2</v>
      </c>
    </row>
    <row r="36" spans="1:16" ht="18" customHeight="1">
      <c r="A36" s="178"/>
      <c r="B36" s="40" t="s">
        <v>211</v>
      </c>
      <c r="C36" s="41"/>
      <c r="D36" s="41">
        <f ca="1">22.1*OFFSET(D$112,MATCH($N$1,$C$112:$C$113,0)-1,0)</f>
        <v>22.1</v>
      </c>
      <c r="E36" s="41">
        <f ca="1">-10.7*OFFSET(E$112,MATCH($N$1,$C$112:$C$113,0)-1,0)</f>
        <v>-10.7</v>
      </c>
      <c r="F36" s="41">
        <f ca="1">26.1*OFFSET(F$112,MATCH($N$1,$C$112:$C$113,0)-1,0)</f>
        <v>26.1</v>
      </c>
      <c r="G36" s="41">
        <f ca="1">11.3*OFFSET(G$112,MATCH($N$1,$C$112:$C$113,0)-1,0)</f>
        <v>11.3</v>
      </c>
      <c r="H36" s="41">
        <f ca="1">-36.6*OFFSET(H$112,MATCH($N$1,$C$112:$C$113,0)-1,0)</f>
        <v>-36.6</v>
      </c>
      <c r="I36" s="41">
        <f ca="1">12.9*OFFSET(I$112,MATCH($N$1,$C$112:$C$113,0)-1,0)</f>
        <v>12.9</v>
      </c>
      <c r="J36" s="41">
        <f ca="1">20.5*OFFSET(J$112,MATCH($N$1,$C$112:$C$113,0)-1,0)</f>
        <v>20.5</v>
      </c>
      <c r="K36" s="41">
        <f ca="1">23.2*OFFSET(K$112,MATCH($N$1,$C$112:$C$113,0)-1,0)</f>
        <v>23.2</v>
      </c>
      <c r="L36" s="41">
        <f ca="1">31.1*OFFSET(L$112,MATCH($N$1,$C$112:$C$113,0)-1,0)</f>
        <v>31.1</v>
      </c>
      <c r="M36" s="41">
        <f ca="1">-11.2*OFFSET(M$112,MATCH($N$1,$C$112:$C$113,0)-1,0)</f>
        <v>-11.2</v>
      </c>
      <c r="N36" s="41">
        <v>30.299999999999997</v>
      </c>
      <c r="O36" s="28">
        <f t="shared" ca="1" si="0"/>
        <v>0.37104072398190024</v>
      </c>
      <c r="P36" s="28">
        <f t="shared" ca="1" si="1"/>
        <v>0.47804878048780475</v>
      </c>
    </row>
    <row r="37" spans="1:16" ht="18" customHeight="1">
      <c r="A37" s="178"/>
      <c r="B37" s="40" t="s">
        <v>212</v>
      </c>
      <c r="C37" s="41"/>
      <c r="D37" s="41">
        <f ca="1">-5.8*OFFSET(D$112,MATCH($N$1,$C$112:$C$113,0)-1,0)</f>
        <v>-5.8</v>
      </c>
      <c r="E37" s="41">
        <f ca="1">-24.7*OFFSET(E$112,MATCH($N$1,$C$112:$C$113,0)-1,0)</f>
        <v>-24.7</v>
      </c>
      <c r="F37" s="41">
        <f ca="1">2.9*OFFSET(F$112,MATCH($N$1,$C$112:$C$113,0)-1,0)</f>
        <v>2.9</v>
      </c>
      <c r="G37" s="41">
        <f ca="1">-10.2*OFFSET(G$112,MATCH($N$1,$C$112:$C$113,0)-1,0)</f>
        <v>-10.199999999999999</v>
      </c>
      <c r="H37" s="41">
        <f ca="1">-47.8*OFFSET(H$112,MATCH($N$1,$C$112:$C$113,0)-1,0)</f>
        <v>-47.8</v>
      </c>
      <c r="I37" s="41">
        <f ca="1">0.2*OFFSET(I$112,MATCH($N$1,$C$112:$C$113,0)-1,0)</f>
        <v>0.2</v>
      </c>
      <c r="J37" s="41">
        <f ca="1">1.3*OFFSET(J$112,MATCH($N$1,$C$112:$C$113,0)-1,0)</f>
        <v>1.3</v>
      </c>
      <c r="K37" s="41">
        <f ca="1">1.3*OFFSET(K$112,MATCH($N$1,$C$112:$C$113,0)-1,0)</f>
        <v>1.3</v>
      </c>
      <c r="L37" s="41">
        <f ca="1">10*OFFSET(L$112,MATCH($N$1,$C$112:$C$113,0)-1,0)</f>
        <v>10</v>
      </c>
      <c r="M37" s="41">
        <f ca="1">-34.7*OFFSET(M$112,MATCH($N$1,$C$112:$C$113,0)-1,0)</f>
        <v>-34.700000000000003</v>
      </c>
      <c r="N37" s="41">
        <v>-19.600000000000001</v>
      </c>
      <c r="O37" s="28">
        <f t="shared" ca="1" si="0"/>
        <v>-2.3793103448275863</v>
      </c>
      <c r="P37" s="28">
        <f t="shared" ca="1" si="1"/>
        <v>-16.076923076923077</v>
      </c>
    </row>
    <row r="38" spans="1:16" ht="18" customHeight="1">
      <c r="A38" s="178"/>
      <c r="B38" s="35" t="s">
        <v>213</v>
      </c>
      <c r="C38" s="31"/>
      <c r="D38" s="31">
        <f ca="1">16.3*OFFSET(D$112,MATCH($N$1,$C$112:$C$113,0)-1,0)</f>
        <v>16.3</v>
      </c>
      <c r="E38" s="31">
        <f ca="1">8.1*OFFSET(E$112,MATCH($N$1,$C$112:$C$113,0)-1,0)</f>
        <v>8.1</v>
      </c>
      <c r="F38" s="31">
        <f ca="1">11.7*OFFSET(F$112,MATCH($N$1,$C$112:$C$113,0)-1,0)</f>
        <v>11.7</v>
      </c>
      <c r="G38" s="31">
        <f ca="1">9*OFFSET(G$112,MATCH($N$1,$C$112:$C$113,0)-1,0)</f>
        <v>9</v>
      </c>
      <c r="H38" s="31">
        <f ca="1">7.4*OFFSET(H$112,MATCH($N$1,$C$112:$C$113,0)-1,0)</f>
        <v>7.4</v>
      </c>
      <c r="I38" s="31">
        <f ca="1">10.4*OFFSET(I$112,MATCH($N$1,$C$112:$C$113,0)-1,0)</f>
        <v>10.4</v>
      </c>
      <c r="J38" s="31">
        <f ca="1">11.5*OFFSET(J$112,MATCH($N$1,$C$112:$C$113,0)-1,0)</f>
        <v>11.5</v>
      </c>
      <c r="K38" s="31">
        <f ca="1">4.4*OFFSET(K$112,MATCH($N$1,$C$112:$C$113,0)-1,0)</f>
        <v>4.4000000000000004</v>
      </c>
      <c r="L38" s="31">
        <f ca="1">12.2*OFFSET(L$112,MATCH($N$1,$C$112:$C$113,0)-1,0)</f>
        <v>12.2</v>
      </c>
      <c r="M38" s="31">
        <f ca="1">15.2*OFFSET(M$112,MATCH($N$1,$C$112:$C$113,0)-1,0)</f>
        <v>15.2</v>
      </c>
      <c r="N38" s="31"/>
      <c r="O38" s="28" t="str">
        <f t="shared" si="0"/>
        <v/>
      </c>
      <c r="P38" s="28" t="str">
        <f t="shared" si="1"/>
        <v/>
      </c>
    </row>
    <row r="39" spans="1:16" ht="18" customHeight="1">
      <c r="A39" s="178"/>
      <c r="B39" s="35" t="s">
        <v>214</v>
      </c>
      <c r="C39" s="31"/>
      <c r="D39" s="31">
        <f ca="1">0.4*OFFSET(D$112,MATCH($N$1,$C$112:$C$113,0)-1,0)</f>
        <v>0.4</v>
      </c>
      <c r="E39" s="31">
        <f ca="1">0.2*OFFSET(E$112,MATCH($N$1,$C$112:$C$113,0)-1,0)</f>
        <v>0.2</v>
      </c>
      <c r="F39" s="31"/>
      <c r="G39" s="31"/>
      <c r="H39" s="31"/>
      <c r="I39" s="31"/>
      <c r="J39" s="31"/>
      <c r="K39" s="31"/>
      <c r="L39" s="31"/>
      <c r="M39" s="31"/>
      <c r="N39" s="31"/>
      <c r="O39" s="28" t="str">
        <f t="shared" si="0"/>
        <v/>
      </c>
      <c r="P39" s="28" t="str">
        <f t="shared" si="1"/>
        <v/>
      </c>
    </row>
    <row r="40" spans="1:16" ht="18" customHeight="1">
      <c r="A40" s="178"/>
      <c r="B40" s="35" t="s">
        <v>215</v>
      </c>
      <c r="C40" s="31"/>
      <c r="D40" s="31">
        <f ca="1">5.3*OFFSET(D$112,MATCH($N$1,$C$112:$C$113,0)-1,0)</f>
        <v>5.3</v>
      </c>
      <c r="E40" s="31">
        <f ca="1">0.7*OFFSET(E$112,MATCH($N$1,$C$112:$C$113,0)-1,0)</f>
        <v>0.7</v>
      </c>
      <c r="F40" s="31">
        <f ca="1">4.1*OFFSET(F$112,MATCH($N$1,$C$112:$C$113,0)-1,0)</f>
        <v>4.0999999999999996</v>
      </c>
      <c r="G40" s="31">
        <f ca="1">0.3*OFFSET(G$112,MATCH($N$1,$C$112:$C$113,0)-1,0)</f>
        <v>0.3</v>
      </c>
      <c r="H40" s="31">
        <f ca="1">0.3*OFFSET(H$112,MATCH($N$1,$C$112:$C$113,0)-1,0)</f>
        <v>0.3</v>
      </c>
      <c r="I40" s="31">
        <f ca="1">0.4*OFFSET(I$112,MATCH($N$1,$C$112:$C$113,0)-1,0)</f>
        <v>0.4</v>
      </c>
      <c r="J40" s="31">
        <f ca="1">0.7*OFFSET(J$112,MATCH($N$1,$C$112:$C$113,0)-1,0)</f>
        <v>0.7</v>
      </c>
      <c r="K40" s="31">
        <f ca="1">0.3*OFFSET(K$112,MATCH($N$1,$C$112:$C$113,0)-1,0)</f>
        <v>0.3</v>
      </c>
      <c r="L40" s="31"/>
      <c r="M40" s="31"/>
      <c r="N40" s="31"/>
      <c r="O40" s="28" t="str">
        <f t="shared" si="0"/>
        <v/>
      </c>
      <c r="P40" s="28" t="str">
        <f t="shared" si="1"/>
        <v/>
      </c>
    </row>
    <row r="41" spans="1:16" ht="18" customHeight="1" thickBot="1">
      <c r="A41" s="179"/>
      <c r="B41" s="42" t="s">
        <v>216</v>
      </c>
      <c r="C41" s="43"/>
      <c r="D41" s="43">
        <f ca="1">-27.8*OFFSET(D$112,MATCH($N$1,$C$112:$C$113,0)-1,0)</f>
        <v>-27.8</v>
      </c>
      <c r="E41" s="43">
        <f ca="1">-33.7*OFFSET(E$112,MATCH($N$1,$C$112:$C$113,0)-1,0)</f>
        <v>-33.700000000000003</v>
      </c>
      <c r="F41" s="43">
        <f ca="1">-12.9*OFFSET(F$112,MATCH($N$1,$C$112:$C$113,0)-1,0)</f>
        <v>-12.9</v>
      </c>
      <c r="G41" s="43">
        <f ca="1">-19.5*OFFSET(G$112,MATCH($N$1,$C$112:$C$113,0)-1,0)</f>
        <v>-19.5</v>
      </c>
      <c r="H41" s="43">
        <f ca="1">-55.5*OFFSET(H$112,MATCH($N$1,$C$112:$C$113,0)-1,0)</f>
        <v>-55.5</v>
      </c>
      <c r="I41" s="43">
        <f ca="1">-10.7*OFFSET(I$112,MATCH($N$1,$C$112:$C$113,0)-1,0)</f>
        <v>-10.7</v>
      </c>
      <c r="J41" s="43">
        <f ca="1">-10.9*OFFSET(J$112,MATCH($N$1,$C$112:$C$113,0)-1,0)</f>
        <v>-10.9</v>
      </c>
      <c r="K41" s="43">
        <f ca="1">-3.4*OFFSET(K$112,MATCH($N$1,$C$112:$C$113,0)-1,0)</f>
        <v>-3.4</v>
      </c>
      <c r="L41" s="43">
        <f ca="1">-2.2*OFFSET(L$112,MATCH($N$1,$C$112:$C$113,0)-1,0)</f>
        <v>-2.2000000000000002</v>
      </c>
      <c r="M41" s="43">
        <f ca="1">-50*OFFSET(M$112,MATCH($N$1,$C$112:$C$113,0)-1,0)</f>
        <v>-50</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158</v>
      </c>
      <c r="F46" s="90" t="s">
        <v>158</v>
      </c>
      <c r="G46" s="90" t="s">
        <v>158</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North Sea beam trawl under 300kW</v>
      </c>
      <c r="B48" s="202"/>
      <c r="C48" s="92"/>
      <c r="D48" s="92"/>
      <c r="E48" s="92"/>
      <c r="F48" s="92"/>
      <c r="G48" s="92"/>
      <c r="H48" s="202"/>
      <c r="I48" s="202"/>
      <c r="J48" s="202"/>
      <c r="K48" s="92" t="str">
        <f>$B24&amp;CHAR(10)&amp;$A$1</f>
        <v>Operating profit per kW day at sea (£)
North Sea beam trawl under 300kW</v>
      </c>
      <c r="L48" s="202"/>
      <c r="M48" s="202"/>
      <c r="N48" s="202"/>
      <c r="O48" s="202"/>
      <c r="P48" s="202"/>
    </row>
    <row r="49" spans="1:11" s="80" customFormat="1">
      <c r="A49" s="92" t="str">
        <f>$B22&amp;CHAR(10)&amp;$A$1</f>
        <v>Fishing income per kW day at sea (£)
North Sea beam trawl under 300kW</v>
      </c>
      <c r="B49" s="202"/>
      <c r="C49" s="202"/>
      <c r="D49" s="202"/>
      <c r="E49" s="202"/>
      <c r="F49" s="202"/>
      <c r="G49" s="202"/>
      <c r="H49" s="202"/>
      <c r="I49" s="202"/>
      <c r="J49" s="202"/>
      <c r="K49" s="202"/>
    </row>
    <row r="50" spans="1:11" s="80" customFormat="1">
      <c r="A50" s="92" t="str">
        <f>$B20&amp;CHAR(10)&amp;$A$1</f>
        <v>Average price per tonne landed (£)
North Sea beam trawl under 300kW</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North Sea beam trawl under 300kW</v>
      </c>
      <c r="C62" s="202"/>
      <c r="D62" s="202"/>
      <c r="E62" s="202"/>
      <c r="F62" s="92" t="str">
        <f>$B20&amp;CHAR(10)&amp;$A$1</f>
        <v>Average price per tonne landed (£)
North Sea beam trawl under 300kW</v>
      </c>
      <c r="G62" s="202"/>
      <c r="H62" s="202"/>
      <c r="I62" s="202"/>
      <c r="J62" s="202"/>
      <c r="K62" s="92" t="str">
        <f>"Average annual operating profit per vessel (£'000)"&amp;CHAR(10)&amp;$A$1</f>
        <v>Average annual operating profit per vessel (£'000)
North Sea beam trawl under 300kW</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North Sea beam trawl under 300kW</v>
      </c>
      <c r="F76" s="92" t="str">
        <f>"Top 5 landed species by value in "&amp;A77&amp;CHAR(10)&amp;A1</f>
        <v>Top 5 landed species by value in 2019
North Sea beam trawl under 300kW</v>
      </c>
    </row>
    <row r="77" spans="1:11" s="92" customFormat="1">
      <c r="A77" s="92">
        <v>2019</v>
      </c>
      <c r="B77" s="92" t="s">
        <v>404</v>
      </c>
      <c r="C77" s="93">
        <v>0.79387137073510006</v>
      </c>
      <c r="D77" s="94">
        <v>12153634</v>
      </c>
      <c r="G77" s="92" t="s">
        <v>405</v>
      </c>
      <c r="H77" s="93">
        <v>0.82312462679379761</v>
      </c>
      <c r="I77" s="94">
        <v>12153634</v>
      </c>
      <c r="K77" s="92" t="s">
        <v>230</v>
      </c>
    </row>
    <row r="78" spans="1:11" s="92" customFormat="1">
      <c r="B78" s="92" t="s">
        <v>406</v>
      </c>
      <c r="C78" s="93">
        <v>0.17324827700227619</v>
      </c>
      <c r="D78" s="94">
        <v>553960</v>
      </c>
      <c r="G78" s="92" t="s">
        <v>407</v>
      </c>
      <c r="H78" s="93">
        <v>0.12159650390060676</v>
      </c>
      <c r="I78" s="94">
        <v>553960</v>
      </c>
    </row>
    <row r="79" spans="1:11" s="92" customFormat="1">
      <c r="B79" s="92" t="s">
        <v>408</v>
      </c>
      <c r="C79" s="93">
        <v>2.9433524138497733E-2</v>
      </c>
      <c r="D79" s="94">
        <v>3050596</v>
      </c>
      <c r="G79" s="92" t="s">
        <v>409</v>
      </c>
      <c r="H79" s="93">
        <v>3.4972813132042764E-2</v>
      </c>
      <c r="I79" s="94">
        <v>3050596</v>
      </c>
    </row>
    <row r="80" spans="1:11" s="92" customFormat="1">
      <c r="B80" s="92" t="s">
        <v>410</v>
      </c>
      <c r="C80" s="93">
        <v>2.6740517255468932E-3</v>
      </c>
      <c r="D80" s="94">
        <v>1692097</v>
      </c>
      <c r="G80" s="92" t="s">
        <v>411</v>
      </c>
      <c r="H80" s="93">
        <v>1.8101912380814794E-2</v>
      </c>
      <c r="I80" s="94">
        <v>1692097</v>
      </c>
    </row>
    <row r="81" spans="1:19" s="92" customFormat="1">
      <c r="B81" s="92" t="s">
        <v>412</v>
      </c>
      <c r="C81" s="93">
        <v>4.6165863139791485E-4</v>
      </c>
      <c r="D81" s="94">
        <v>3689192</v>
      </c>
      <c r="G81" s="92" t="s">
        <v>413</v>
      </c>
      <c r="H81" s="93">
        <v>2.0434634739477991E-3</v>
      </c>
      <c r="I81" s="94">
        <v>3689192</v>
      </c>
    </row>
    <row r="82" spans="1:19" s="92" customFormat="1">
      <c r="B82" s="92" t="s">
        <v>414</v>
      </c>
      <c r="C82" s="93">
        <v>3.1111776718117934E-4</v>
      </c>
      <c r="D82" s="94">
        <v>5920853</v>
      </c>
      <c r="G82" s="92" t="s">
        <v>414</v>
      </c>
      <c r="H82" s="93">
        <v>1.6068031879024058E-4</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166</v>
      </c>
      <c r="D92" s="98">
        <v>0.4954077297447867</v>
      </c>
      <c r="E92" s="98">
        <v>0.72524384843508638</v>
      </c>
      <c r="F92" s="98">
        <v>0.86021385990708921</v>
      </c>
      <c r="G92" s="98">
        <v>0.82549123139680181</v>
      </c>
      <c r="H92" s="98">
        <v>0.58752159006386417</v>
      </c>
      <c r="I92" s="98">
        <v>0.91882753263998429</v>
      </c>
      <c r="J92" s="98">
        <v>0.97772046937837076</v>
      </c>
      <c r="K92" s="98">
        <v>0.99662054785034349</v>
      </c>
      <c r="L92" s="98">
        <v>0.82312462679379761</v>
      </c>
      <c r="M92" s="98">
        <v>0.97112713326998423</v>
      </c>
      <c r="O92" s="92">
        <v>12153634</v>
      </c>
    </row>
    <row r="93" spans="1:19" s="92" customFormat="1" hidden="1">
      <c r="B93" s="92">
        <v>2</v>
      </c>
      <c r="C93" s="92" t="s">
        <v>378</v>
      </c>
      <c r="D93" s="98"/>
      <c r="E93" s="98"/>
      <c r="F93" s="98"/>
      <c r="G93" s="98">
        <v>8.5025511785469451E-3</v>
      </c>
      <c r="H93" s="98">
        <v>7.0390720866690085E-2</v>
      </c>
      <c r="I93" s="98">
        <v>4.4916606249783622E-2</v>
      </c>
      <c r="J93" s="98"/>
      <c r="K93" s="98">
        <v>6.2257738603615522E-5</v>
      </c>
      <c r="L93" s="98">
        <v>0.12159650390060676</v>
      </c>
      <c r="M93" s="98">
        <v>2.2793413587411521E-2</v>
      </c>
      <c r="O93" s="92">
        <v>553960</v>
      </c>
    </row>
    <row r="94" spans="1:19" s="92" customFormat="1" hidden="1">
      <c r="B94" s="92">
        <v>3</v>
      </c>
      <c r="C94" s="92" t="s">
        <v>170</v>
      </c>
      <c r="D94" s="98"/>
      <c r="E94" s="98"/>
      <c r="F94" s="98"/>
      <c r="G94" s="98"/>
      <c r="H94" s="98"/>
      <c r="I94" s="98"/>
      <c r="J94" s="98"/>
      <c r="K94" s="98"/>
      <c r="L94" s="98">
        <v>3.4972813132042764E-2</v>
      </c>
      <c r="M94" s="98"/>
      <c r="O94" s="92">
        <v>3050596</v>
      </c>
    </row>
    <row r="95" spans="1:19" s="92" customFormat="1" hidden="1">
      <c r="B95" s="92">
        <v>4</v>
      </c>
      <c r="C95" s="92" t="s">
        <v>167</v>
      </c>
      <c r="D95" s="98"/>
      <c r="E95" s="98"/>
      <c r="F95" s="98"/>
      <c r="G95" s="98"/>
      <c r="H95" s="98"/>
      <c r="I95" s="98"/>
      <c r="J95" s="98"/>
      <c r="K95" s="98"/>
      <c r="L95" s="98">
        <v>1.8101912380814794E-2</v>
      </c>
      <c r="M95" s="98"/>
      <c r="O95" s="92">
        <v>1692097</v>
      </c>
    </row>
    <row r="96" spans="1:19" s="92" customFormat="1" hidden="1">
      <c r="B96" s="92">
        <v>5</v>
      </c>
      <c r="C96" s="92" t="s">
        <v>171</v>
      </c>
      <c r="D96" s="98">
        <v>0.14523474126824917</v>
      </c>
      <c r="E96" s="98"/>
      <c r="F96" s="98">
        <v>2.3902283170617496E-2</v>
      </c>
      <c r="G96" s="98"/>
      <c r="H96" s="98"/>
      <c r="I96" s="98"/>
      <c r="J96" s="98"/>
      <c r="K96" s="98">
        <v>1.7621714488039549E-4</v>
      </c>
      <c r="L96" s="98">
        <v>2.0434634739477991E-3</v>
      </c>
      <c r="M96" s="98">
        <v>2.2071344584549345E-3</v>
      </c>
      <c r="O96" s="92">
        <v>3689192</v>
      </c>
    </row>
    <row r="97" spans="1:15" s="92" customFormat="1" hidden="1">
      <c r="B97" s="92">
        <v>6</v>
      </c>
      <c r="C97" s="92" t="s">
        <v>168</v>
      </c>
      <c r="D97" s="98"/>
      <c r="E97" s="98"/>
      <c r="F97" s="98"/>
      <c r="G97" s="98"/>
      <c r="H97" s="98"/>
      <c r="I97" s="98"/>
      <c r="J97" s="98"/>
      <c r="K97" s="98"/>
      <c r="L97" s="98"/>
      <c r="M97" s="98">
        <v>1.964049164902241E-3</v>
      </c>
      <c r="O97" s="92">
        <v>11115023</v>
      </c>
    </row>
    <row r="98" spans="1:15" s="92" customFormat="1" hidden="1">
      <c r="B98" s="92">
        <v>7</v>
      </c>
      <c r="C98" s="92" t="s">
        <v>244</v>
      </c>
      <c r="D98" s="98">
        <v>2.6079584878200276E-2</v>
      </c>
      <c r="E98" s="98"/>
      <c r="F98" s="98">
        <v>5.2218645734163072E-3</v>
      </c>
      <c r="G98" s="98"/>
      <c r="H98" s="98"/>
      <c r="I98" s="98"/>
      <c r="J98" s="98"/>
      <c r="K98" s="98"/>
      <c r="L98" s="98"/>
      <c r="M98" s="98">
        <v>5.2124435675574758E-4</v>
      </c>
      <c r="O98" s="92">
        <v>2480382</v>
      </c>
    </row>
    <row r="99" spans="1:15" s="92" customFormat="1" hidden="1">
      <c r="B99" s="92">
        <v>8</v>
      </c>
      <c r="C99" s="92" t="s">
        <v>377</v>
      </c>
      <c r="D99" s="98">
        <v>0.26616171373245845</v>
      </c>
      <c r="E99" s="98">
        <v>0.12030315793347739</v>
      </c>
      <c r="F99" s="98">
        <v>9.7772231052043232E-2</v>
      </c>
      <c r="G99" s="98">
        <v>0.14273414139646146</v>
      </c>
      <c r="H99" s="98">
        <v>0.16625556390344598</v>
      </c>
      <c r="I99" s="98"/>
      <c r="J99" s="98">
        <v>2.543451329793567E-3</v>
      </c>
      <c r="K99" s="98">
        <v>2.7078232119932596E-3</v>
      </c>
      <c r="L99" s="98"/>
      <c r="M99" s="98"/>
      <c r="O99" s="92">
        <v>7434864</v>
      </c>
    </row>
    <row r="100" spans="1:15" s="92" customFormat="1" hidden="1">
      <c r="B100" s="92">
        <v>9</v>
      </c>
      <c r="C100" s="92" t="s">
        <v>241</v>
      </c>
      <c r="D100" s="98"/>
      <c r="E100" s="98"/>
      <c r="F100" s="98"/>
      <c r="G100" s="98"/>
      <c r="H100" s="98"/>
      <c r="I100" s="98"/>
      <c r="J100" s="98"/>
      <c r="K100" s="98">
        <v>3.8814204480728843E-4</v>
      </c>
      <c r="L100" s="98"/>
      <c r="M100" s="98"/>
      <c r="O100" s="92">
        <v>8497745</v>
      </c>
    </row>
    <row r="101" spans="1:15" s="92" customFormat="1" hidden="1">
      <c r="B101" s="92">
        <v>10</v>
      </c>
      <c r="C101" s="92" t="s">
        <v>172</v>
      </c>
      <c r="D101" s="98"/>
      <c r="E101" s="98">
        <v>0.12953963751837771</v>
      </c>
      <c r="F101" s="98"/>
      <c r="G101" s="98">
        <v>6.1941782503634338E-3</v>
      </c>
      <c r="H101" s="98">
        <v>0.17309302293875659</v>
      </c>
      <c r="I101" s="98">
        <v>1.7936070225214883E-2</v>
      </c>
      <c r="J101" s="98">
        <v>1.9736091457578639E-2</v>
      </c>
      <c r="K101" s="98"/>
      <c r="L101" s="98"/>
      <c r="M101" s="98"/>
      <c r="O101" s="92">
        <v>14393110</v>
      </c>
    </row>
    <row r="102" spans="1:15" s="92" customFormat="1" hidden="1">
      <c r="B102" s="92">
        <v>11</v>
      </c>
      <c r="C102" s="92" t="s">
        <v>160</v>
      </c>
      <c r="D102" s="98"/>
      <c r="E102" s="98"/>
      <c r="F102" s="98"/>
      <c r="G102" s="98"/>
      <c r="H102" s="98"/>
      <c r="I102" s="98">
        <v>1.4638064064657445E-2</v>
      </c>
      <c r="J102" s="98"/>
      <c r="K102" s="98"/>
      <c r="L102" s="98"/>
      <c r="M102" s="98"/>
      <c r="O102" s="92">
        <v>2887140</v>
      </c>
    </row>
    <row r="103" spans="1:15" s="92" customFormat="1" hidden="1">
      <c r="B103" s="92">
        <v>12</v>
      </c>
      <c r="C103" s="92" t="s">
        <v>329</v>
      </c>
      <c r="D103" s="98"/>
      <c r="E103" s="98"/>
      <c r="F103" s="98"/>
      <c r="G103" s="98"/>
      <c r="H103" s="98"/>
      <c r="I103" s="98">
        <v>1.3992433296469034E-3</v>
      </c>
      <c r="J103" s="98"/>
      <c r="K103" s="98"/>
      <c r="L103" s="98"/>
      <c r="M103" s="98"/>
      <c r="O103" s="92">
        <v>15057844</v>
      </c>
    </row>
    <row r="104" spans="1:15" s="92" customFormat="1" hidden="1">
      <c r="B104" s="92">
        <v>13</v>
      </c>
      <c r="C104" s="92" t="s">
        <v>415</v>
      </c>
      <c r="D104" s="98">
        <v>3.3906238943507569E-2</v>
      </c>
      <c r="E104" s="98">
        <v>1.0661954741569318E-2</v>
      </c>
      <c r="F104" s="98">
        <v>7.5626714770666379E-3</v>
      </c>
      <c r="G104" s="98">
        <v>1.0064324158753774E-2</v>
      </c>
      <c r="H104" s="98">
        <v>2.7391022272431113E-3</v>
      </c>
      <c r="I104" s="98"/>
      <c r="J104" s="98"/>
      <c r="K104" s="98"/>
      <c r="L104" s="98"/>
      <c r="M104" s="98"/>
      <c r="O104" s="92">
        <v>10603512</v>
      </c>
    </row>
    <row r="105" spans="1:15" s="92" customFormat="1" hidden="1">
      <c r="B105" s="92">
        <v>14</v>
      </c>
      <c r="C105" s="92" t="s">
        <v>361</v>
      </c>
      <c r="D105" s="98"/>
      <c r="E105" s="98">
        <v>6.443818662694085E-3</v>
      </c>
      <c r="F105" s="98"/>
      <c r="G105" s="98"/>
      <c r="H105" s="98"/>
      <c r="I105" s="98"/>
      <c r="J105" s="98"/>
      <c r="K105" s="98"/>
      <c r="L105" s="98"/>
      <c r="M105" s="98"/>
      <c r="O105" s="92">
        <v>10931653</v>
      </c>
    </row>
    <row r="106" spans="1:15" s="92" customFormat="1" hidden="1">
      <c r="B106" s="92">
        <v>15</v>
      </c>
      <c r="C106" s="92" t="s">
        <v>245</v>
      </c>
      <c r="D106" s="98">
        <v>3.3209991432797868E-2</v>
      </c>
      <c r="E106" s="98">
        <v>7.8075827087951506E-3</v>
      </c>
      <c r="F106" s="98">
        <v>5.3270898197671111E-3</v>
      </c>
      <c r="G106" s="98">
        <v>7.0135736190726234E-3</v>
      </c>
      <c r="H106" s="98">
        <v>0</v>
      </c>
      <c r="I106" s="98">
        <v>2.282483490712809E-3</v>
      </c>
      <c r="J106" s="98">
        <v>-1.2165742967762598E-8</v>
      </c>
      <c r="K106" s="98">
        <v>4.5012009371946763E-5</v>
      </c>
      <c r="L106" s="98">
        <v>1.6068031879033036E-4</v>
      </c>
      <c r="M106" s="98">
        <v>1.3870251624913577E-3</v>
      </c>
      <c r="O106" s="92">
        <v>5920853</v>
      </c>
    </row>
    <row r="107" spans="1:15" s="92" customFormat="1" hidden="1">
      <c r="B107" s="92">
        <v>16</v>
      </c>
      <c r="D107" s="98"/>
      <c r="E107" s="98"/>
      <c r="F107" s="98"/>
      <c r="G107" s="98"/>
      <c r="H107" s="98"/>
      <c r="I107" s="98"/>
      <c r="J107" s="98">
        <v>0</v>
      </c>
      <c r="K107" s="98"/>
      <c r="L107" s="98"/>
      <c r="M107" s="98"/>
      <c r="O107" s="92">
        <v>5920853</v>
      </c>
    </row>
    <row r="108" spans="1:15" s="92" customFormat="1" hidden="1">
      <c r="B108" s="92">
        <v>17</v>
      </c>
      <c r="D108" s="98"/>
      <c r="E108" s="98"/>
      <c r="F108" s="98"/>
      <c r="G108" s="98"/>
      <c r="H108" s="98"/>
      <c r="I108" s="98"/>
      <c r="J108" s="98">
        <v>0</v>
      </c>
      <c r="K108" s="98"/>
      <c r="L108" s="98"/>
      <c r="M108" s="98"/>
      <c r="O108" s="92">
        <v>0</v>
      </c>
    </row>
    <row r="109" spans="1:15" s="92" customFormat="1" hidden="1">
      <c r="B109" s="92">
        <v>18</v>
      </c>
      <c r="D109" s="98"/>
      <c r="E109" s="98"/>
      <c r="F109" s="98"/>
      <c r="G109" s="98"/>
      <c r="H109" s="98"/>
      <c r="I109" s="98"/>
      <c r="J109" s="98">
        <v>0</v>
      </c>
      <c r="K109" s="98"/>
      <c r="L109" s="98"/>
      <c r="M109" s="98"/>
      <c r="O109" s="92">
        <v>0</v>
      </c>
    </row>
    <row r="110" spans="1:15" s="92" customFormat="1" hidden="1">
      <c r="B110" s="92">
        <v>19</v>
      </c>
      <c r="D110" s="98"/>
      <c r="E110" s="98"/>
      <c r="F110" s="98"/>
      <c r="G110" s="98"/>
      <c r="H110" s="98"/>
      <c r="I110" s="98"/>
      <c r="J110" s="98">
        <v>0</v>
      </c>
      <c r="K110" s="98"/>
      <c r="L110" s="98"/>
      <c r="M110" s="98"/>
      <c r="O110" s="92">
        <v>0</v>
      </c>
    </row>
    <row r="111" spans="1:15" s="92" customFormat="1" hidden="1">
      <c r="A111" s="92">
        <v>16</v>
      </c>
      <c r="B111" s="92">
        <v>20</v>
      </c>
      <c r="D111" s="98"/>
      <c r="E111" s="98"/>
      <c r="F111" s="98"/>
      <c r="G111" s="98"/>
      <c r="H111" s="98"/>
      <c r="I111" s="98"/>
      <c r="J111" s="98">
        <v>0</v>
      </c>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t="s">
        <v>253</v>
      </c>
      <c r="D120" s="54">
        <v>6</v>
      </c>
      <c r="E120" s="54" t="s">
        <v>253</v>
      </c>
      <c r="F120" s="55">
        <v>14</v>
      </c>
    </row>
    <row r="121" spans="1:15" ht="18" customHeight="1">
      <c r="A121" s="173" t="s">
        <v>191</v>
      </c>
      <c r="B121" s="33" t="s">
        <v>192</v>
      </c>
      <c r="C121" s="56"/>
      <c r="D121" s="56">
        <v>14.441666603088379</v>
      </c>
      <c r="E121" s="56"/>
      <c r="F121" s="57">
        <v>14.041428565979004</v>
      </c>
      <c r="G121" s="206"/>
      <c r="H121" s="206"/>
      <c r="I121" s="206"/>
      <c r="J121" s="206"/>
      <c r="K121" s="206"/>
      <c r="L121" s="206"/>
      <c r="M121" s="206"/>
      <c r="N121" s="206"/>
      <c r="O121" s="206"/>
    </row>
    <row r="122" spans="1:15" ht="18" customHeight="1">
      <c r="A122" s="174"/>
      <c r="B122" s="35" t="s">
        <v>184</v>
      </c>
      <c r="C122" s="58"/>
      <c r="D122" s="58">
        <v>190.33333587646484</v>
      </c>
      <c r="E122" s="58"/>
      <c r="F122" s="59">
        <v>199.21427917480469</v>
      </c>
      <c r="G122" s="206"/>
      <c r="H122" s="206"/>
      <c r="I122" s="206"/>
      <c r="J122" s="206"/>
      <c r="K122" s="206"/>
      <c r="L122" s="206"/>
      <c r="M122" s="206"/>
      <c r="N122" s="206"/>
      <c r="O122" s="206"/>
    </row>
    <row r="123" spans="1:15" ht="18" customHeight="1">
      <c r="A123" s="174"/>
      <c r="B123" s="35" t="s">
        <v>185</v>
      </c>
      <c r="C123" s="58"/>
      <c r="D123" s="58">
        <v>29</v>
      </c>
      <c r="E123" s="58"/>
      <c r="F123" s="59">
        <v>26.785715103149414</v>
      </c>
      <c r="G123" s="206"/>
      <c r="H123" s="206"/>
      <c r="I123" s="206"/>
      <c r="J123" s="206"/>
      <c r="K123" s="206"/>
      <c r="L123" s="206"/>
      <c r="M123" s="206"/>
      <c r="N123" s="206"/>
      <c r="O123" s="206"/>
    </row>
    <row r="124" spans="1:15" ht="18" customHeight="1">
      <c r="A124" s="174"/>
      <c r="B124" s="35" t="s">
        <v>186</v>
      </c>
      <c r="C124" s="58"/>
      <c r="D124" s="58">
        <v>164.5665283203125</v>
      </c>
      <c r="E124" s="58"/>
      <c r="F124" s="59">
        <v>164.62127685546875</v>
      </c>
      <c r="G124" s="206"/>
      <c r="H124" s="206"/>
      <c r="I124" s="206"/>
      <c r="J124" s="206"/>
      <c r="K124" s="206"/>
      <c r="L124" s="206"/>
      <c r="M124" s="206"/>
      <c r="N124" s="206"/>
      <c r="O124" s="206"/>
    </row>
    <row r="125" spans="1:15" ht="18" customHeight="1">
      <c r="A125" s="174"/>
      <c r="B125" s="35" t="s">
        <v>187</v>
      </c>
      <c r="C125" s="31"/>
      <c r="D125" s="31">
        <v>22.958783149719238</v>
      </c>
      <c r="E125" s="31"/>
      <c r="F125" s="60">
        <v>25.62190055847168</v>
      </c>
      <c r="G125" s="206"/>
      <c r="H125" s="206"/>
      <c r="I125" s="206"/>
      <c r="J125" s="206"/>
      <c r="K125" s="206"/>
      <c r="L125" s="206"/>
      <c r="M125" s="206"/>
      <c r="N125" s="206"/>
      <c r="O125" s="206"/>
    </row>
    <row r="126" spans="1:15" ht="18" customHeight="1">
      <c r="A126" s="174"/>
      <c r="B126" s="35" t="s">
        <v>193</v>
      </c>
      <c r="C126" s="31"/>
      <c r="D126" s="31">
        <f ca="1">48.265390625*OFFSET($L$112,MATCH($N$1,$C$112:$C$113,0)-1,0)</f>
        <v>48.265390625000002</v>
      </c>
      <c r="E126" s="31"/>
      <c r="F126" s="60">
        <f ca="1">49.0921171875*OFFSET($L$112,MATCH($N$1,$C$112:$C$113,0)-1,0)</f>
        <v>49.092117187500001</v>
      </c>
      <c r="G126" s="206"/>
      <c r="H126" s="206"/>
      <c r="I126" s="206"/>
      <c r="J126" s="206"/>
      <c r="K126" s="206"/>
      <c r="L126" s="206"/>
      <c r="M126" s="206"/>
      <c r="N126" s="206"/>
      <c r="O126" s="206"/>
    </row>
    <row r="127" spans="1:15" ht="18" customHeight="1">
      <c r="A127" s="174"/>
      <c r="B127" s="35" t="s">
        <v>189</v>
      </c>
      <c r="C127" s="58"/>
      <c r="D127" s="58">
        <v>71.166666030883789</v>
      </c>
      <c r="E127" s="58"/>
      <c r="F127" s="59">
        <v>66.928573608398438</v>
      </c>
      <c r="G127" s="206"/>
      <c r="H127" s="206"/>
      <c r="I127" s="206"/>
      <c r="J127" s="206"/>
      <c r="K127" s="206"/>
      <c r="L127" s="206"/>
      <c r="M127" s="206"/>
      <c r="N127" s="206"/>
      <c r="O127" s="206"/>
    </row>
    <row r="128" spans="1:15" ht="18" customHeight="1">
      <c r="A128" s="174"/>
      <c r="B128" s="35" t="s">
        <v>194</v>
      </c>
      <c r="C128" s="58"/>
      <c r="D128" s="58">
        <v>26.833333969116211</v>
      </c>
      <c r="E128" s="58"/>
      <c r="F128" s="59">
        <v>21.857143402099609</v>
      </c>
      <c r="G128" s="206"/>
      <c r="H128" s="206"/>
      <c r="I128" s="206"/>
      <c r="J128" s="206"/>
      <c r="K128" s="206"/>
      <c r="L128" s="206"/>
      <c r="M128" s="206"/>
      <c r="N128" s="206"/>
      <c r="O128" s="206"/>
    </row>
    <row r="129" spans="1:15" ht="18" customHeight="1">
      <c r="A129" s="174"/>
      <c r="B129" s="35" t="s">
        <v>195</v>
      </c>
      <c r="C129" s="61"/>
      <c r="D129" s="61">
        <v>0.3226058551029487</v>
      </c>
      <c r="E129" s="61"/>
      <c r="F129" s="62">
        <v>0.38282454013824463</v>
      </c>
      <c r="G129" s="206"/>
      <c r="H129" s="206"/>
      <c r="I129" s="206"/>
      <c r="J129" s="206"/>
      <c r="K129" s="206"/>
      <c r="L129" s="206"/>
      <c r="M129" s="206"/>
      <c r="N129" s="206"/>
      <c r="O129" s="206"/>
    </row>
    <row r="130" spans="1:15" ht="18" customHeight="1">
      <c r="A130" s="175"/>
      <c r="B130" s="37" t="s">
        <v>196</v>
      </c>
      <c r="C130" s="38"/>
      <c r="D130" s="38">
        <f ca="1">2102.26257682086*OFFSET($L$112,MATCH($N$1,$C$112:$C$113,0)-1,0)</f>
        <v>2102.26257682086</v>
      </c>
      <c r="E130" s="38"/>
      <c r="F130" s="63">
        <f ca="1">1916*OFFSET($L$112,MATCH($N$1,$C$112:$C$113,0)-1,0)</f>
        <v>1916</v>
      </c>
      <c r="G130" s="206"/>
      <c r="H130" s="206"/>
      <c r="I130" s="206"/>
      <c r="J130" s="206"/>
      <c r="K130" s="206"/>
      <c r="L130" s="206"/>
      <c r="M130" s="206"/>
      <c r="N130" s="206"/>
      <c r="O130" s="206"/>
    </row>
    <row r="131" spans="1:15" ht="18" customHeight="1">
      <c r="A131" s="184" t="s">
        <v>197</v>
      </c>
      <c r="B131" s="33" t="s">
        <v>198</v>
      </c>
      <c r="C131" s="64"/>
      <c r="D131" s="64">
        <v>1.8534828987553884</v>
      </c>
      <c r="E131" s="64"/>
      <c r="F131" s="65">
        <v>1.9644930464613135</v>
      </c>
      <c r="G131" s="206"/>
      <c r="H131" s="206"/>
      <c r="I131" s="206"/>
      <c r="J131" s="206"/>
      <c r="K131" s="206"/>
      <c r="L131" s="206"/>
      <c r="M131" s="206"/>
      <c r="N131" s="206"/>
      <c r="O131" s="206"/>
    </row>
    <row r="132" spans="1:15" ht="18" customHeight="1">
      <c r="A132" s="185"/>
      <c r="B132" s="35" t="s">
        <v>199</v>
      </c>
      <c r="C132" s="61"/>
      <c r="D132" s="61">
        <f ca="1">3.89650773483089*OFFSET($L$112,MATCH($N$1,$C$112:$C$113,0)-1,0)</f>
        <v>3.8965077348308901</v>
      </c>
      <c r="E132" s="61"/>
      <c r="F132" s="62">
        <f ca="1">3.76401128522139*OFFSET($L$112,MATCH($N$1,$C$112:$C$113,0)-1,0)</f>
        <v>3.7640112852213901</v>
      </c>
      <c r="G132" s="206"/>
      <c r="H132" s="206"/>
      <c r="I132" s="206"/>
      <c r="J132" s="206"/>
      <c r="K132" s="206"/>
      <c r="L132" s="206"/>
      <c r="M132" s="206"/>
      <c r="N132" s="206"/>
      <c r="O132" s="206"/>
    </row>
    <row r="133" spans="1:15" ht="18" customHeight="1">
      <c r="A133" s="185"/>
      <c r="B133" s="35" t="s">
        <v>154</v>
      </c>
      <c r="C133" s="61"/>
      <c r="D133" s="61">
        <f ca="1">6.81413156311945*OFFSET($L$112,MATCH($N$1,$C$112:$C$113,0)-1,0)</f>
        <v>6.8141315631194503</v>
      </c>
      <c r="E133" s="61"/>
      <c r="F133" s="62">
        <f ca="1">6.42534023385087*OFFSET($L$112,MATCH($N$1,$C$112:$C$113,0)-1,0)</f>
        <v>6.4253402338508696</v>
      </c>
      <c r="G133" s="206"/>
      <c r="H133" s="206"/>
      <c r="I133" s="206"/>
      <c r="J133" s="206"/>
      <c r="K133" s="206"/>
      <c r="L133" s="206"/>
      <c r="M133" s="206"/>
      <c r="N133" s="206"/>
      <c r="O133" s="206"/>
    </row>
    <row r="134" spans="1:15" ht="18" customHeight="1">
      <c r="A134" s="186"/>
      <c r="B134" s="37" t="s">
        <v>155</v>
      </c>
      <c r="C134" s="66"/>
      <c r="D134" s="66">
        <f ca="1">-2.91762382828856*OFFSET($L$112,MATCH($N$1,$C$112:$C$113,0)-1,0)</f>
        <v>-2.9176238282885598</v>
      </c>
      <c r="E134" s="66"/>
      <c r="F134" s="67">
        <f ca="1">-2.66132894862948*OFFSET($L$112,MATCH($N$1,$C$112:$C$113,0)-1,0)</f>
        <v>-2.66132894862948</v>
      </c>
      <c r="G134" s="206"/>
      <c r="H134" s="206"/>
      <c r="I134" s="206"/>
      <c r="J134" s="206"/>
      <c r="K134" s="206"/>
      <c r="L134" s="206"/>
      <c r="M134" s="206"/>
      <c r="N134" s="206"/>
      <c r="O134" s="206"/>
    </row>
    <row r="135" spans="1:15" ht="18" customHeight="1">
      <c r="A135" s="187" t="s">
        <v>254</v>
      </c>
      <c r="B135" s="35" t="s">
        <v>255</v>
      </c>
      <c r="C135" s="68"/>
      <c r="D135" s="68">
        <f ca="1">39.274921875*OFFSET($L$112,MATCH($N$1,$C$112:$C$113,0)-1,0)</f>
        <v>39.274921874999997</v>
      </c>
      <c r="E135" s="68"/>
      <c r="F135" s="69">
        <f ca="1">37.89887890625*OFFSET($L$112,MATCH($N$1,$C$112:$C$113,0)-1,0)</f>
        <v>37.898878906249998</v>
      </c>
      <c r="G135" s="206"/>
      <c r="H135" s="206"/>
      <c r="I135" s="206"/>
      <c r="J135" s="206"/>
      <c r="K135" s="206"/>
      <c r="L135" s="206"/>
      <c r="M135" s="206"/>
      <c r="N135" s="206"/>
      <c r="O135" s="206"/>
    </row>
    <row r="136" spans="1:15" ht="18" customHeight="1">
      <c r="A136" s="188"/>
      <c r="B136" s="35" t="s">
        <v>256</v>
      </c>
      <c r="C136" s="30"/>
      <c r="D136" s="30">
        <v>75916.665399058722</v>
      </c>
      <c r="E136" s="30"/>
      <c r="F136" s="70">
        <v>73232.142857142855</v>
      </c>
      <c r="G136" s="206"/>
      <c r="H136" s="206"/>
      <c r="I136" s="206"/>
      <c r="J136" s="206"/>
      <c r="K136" s="206"/>
      <c r="L136" s="206"/>
      <c r="M136" s="206"/>
      <c r="N136" s="206"/>
      <c r="O136" s="206"/>
    </row>
    <row r="137" spans="1:15" ht="18" customHeight="1">
      <c r="A137" s="188"/>
      <c r="B137" s="35" t="s">
        <v>257</v>
      </c>
      <c r="C137" s="30"/>
      <c r="D137" s="30">
        <v>1066.7447223973313</v>
      </c>
      <c r="E137" s="30"/>
      <c r="F137" s="70">
        <v>1094.18359375</v>
      </c>
      <c r="G137" s="206"/>
      <c r="H137" s="206"/>
      <c r="I137" s="206"/>
      <c r="J137" s="206"/>
      <c r="K137" s="206"/>
      <c r="L137" s="206"/>
      <c r="M137" s="206"/>
      <c r="N137" s="206"/>
      <c r="O137" s="206"/>
    </row>
    <row r="138" spans="1:15" ht="18" customHeight="1">
      <c r="A138" s="188"/>
      <c r="B138" s="35" t="s">
        <v>258</v>
      </c>
      <c r="C138" s="30"/>
      <c r="D138" s="30">
        <f ca="1">551.872443454862*OFFSET($L$112,MATCH($N$1,$C$112:$C$113,0)-1,0)</f>
        <v>551.87244345486204</v>
      </c>
      <c r="E138" s="30"/>
      <c r="F138" s="70">
        <f ca="1">566.258577808602*OFFSET($L$112,MATCH($N$1,$C$112:$C$113,0)-1,0)</f>
        <v>566.25857780860201</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c r="D139" s="30">
        <f ca="1">1710.67088437918*OFFSET($L$112,MATCH($N$1,$C$112:$C$113,0)-1,0)</f>
        <v>1710.6708843791801</v>
      </c>
      <c r="E139" s="30"/>
      <c r="F139" s="70">
        <f ca="1">1479.15955023559*OFFSET($L$112,MATCH($N$1,$C$112:$C$113,0)-1,0)</f>
        <v>1479.1595502355899</v>
      </c>
      <c r="G139" s="206"/>
      <c r="H139" s="206"/>
      <c r="I139" s="46"/>
      <c r="J139" s="206"/>
      <c r="K139" s="71" t="s">
        <v>260</v>
      </c>
      <c r="L139" s="72">
        <f t="shared" ref="L139:M141" si="2">C140</f>
        <v>0</v>
      </c>
      <c r="M139" s="72">
        <f t="shared" ca="1" si="2"/>
        <v>48.265390625000002</v>
      </c>
      <c r="N139" s="72">
        <f>E140</f>
        <v>0</v>
      </c>
      <c r="O139" s="72"/>
    </row>
    <row r="140" spans="1:15" ht="18" customHeight="1">
      <c r="A140" s="166" t="s">
        <v>261</v>
      </c>
      <c r="B140" s="33" t="s">
        <v>262</v>
      </c>
      <c r="C140" s="73"/>
      <c r="D140" s="73">
        <f ca="1">48.265390625*OFFSET($L$112,MATCH($N$1,$C$112:$C$113,0)-1,0)</f>
        <v>48.265390625000002</v>
      </c>
      <c r="E140" s="73"/>
      <c r="F140" s="74">
        <f ca="1">49.0921171875*OFFSET($L$112,MATCH($N$1,$C$112:$C$113,0)-1,0)</f>
        <v>49.092117187500001</v>
      </c>
      <c r="G140" s="206"/>
      <c r="H140" s="206"/>
      <c r="I140" s="46"/>
      <c r="J140" s="206"/>
      <c r="K140" s="71" t="s">
        <v>263</v>
      </c>
      <c r="L140" s="72">
        <f t="shared" si="2"/>
        <v>0</v>
      </c>
      <c r="M140" s="72">
        <f t="shared" ca="1" si="2"/>
        <v>84.405509765624998</v>
      </c>
      <c r="N140" s="72">
        <f>E141</f>
        <v>0</v>
      </c>
      <c r="O140" s="72"/>
    </row>
    <row r="141" spans="1:15" ht="18" customHeight="1">
      <c r="A141" s="167"/>
      <c r="B141" s="35" t="s">
        <v>264</v>
      </c>
      <c r="C141" s="30"/>
      <c r="D141" s="30">
        <f ca="1">84.405509765625*OFFSET($L$112,MATCH($N$1,$C$112:$C$113,0)-1,0)</f>
        <v>84.405509765624998</v>
      </c>
      <c r="E141" s="30"/>
      <c r="F141" s="70">
        <f ca="1">83.8025*OFFSET($L$112,MATCH($N$1,$C$112:$C$113,0)-1,0)</f>
        <v>83.802499999999995</v>
      </c>
      <c r="G141" s="206"/>
      <c r="H141" s="206"/>
      <c r="I141" s="46"/>
      <c r="J141" s="206"/>
      <c r="K141" s="71" t="s">
        <v>265</v>
      </c>
      <c r="L141" s="72">
        <f t="shared" si="2"/>
        <v>0</v>
      </c>
      <c r="M141" s="72">
        <f t="shared" ca="1" si="2"/>
        <v>-36.140119140625004</v>
      </c>
      <c r="N141" s="72">
        <f>E142</f>
        <v>0</v>
      </c>
      <c r="O141" s="72"/>
    </row>
    <row r="142" spans="1:15" ht="18" customHeight="1">
      <c r="A142" s="168"/>
      <c r="B142" s="37" t="s">
        <v>266</v>
      </c>
      <c r="C142" s="38"/>
      <c r="D142" s="38">
        <f ca="1">-36.140119140625*OFFSET($L$112,MATCH($N$1,$C$112:$C$113,0)-1,0)</f>
        <v>-36.140119140625004</v>
      </c>
      <c r="E142" s="38"/>
      <c r="F142" s="63">
        <f ca="1">-34.7103828125*OFFSET($L$112,MATCH($N$1,$C$112:$C$113,0)-1,0)</f>
        <v>-34.710382812500001</v>
      </c>
      <c r="G142" s="206"/>
      <c r="H142" s="206"/>
      <c r="I142" s="46"/>
      <c r="J142" s="206"/>
      <c r="K142" s="71" t="s">
        <v>267</v>
      </c>
      <c r="L142" s="75" t="str">
        <f>IFERROR(L140/L$139,"")</f>
        <v/>
      </c>
      <c r="M142" s="75">
        <f t="shared" ref="M142:N143" ca="1" si="3">IFERROR(M140/M$139,"")</f>
        <v>1.748779170180496</v>
      </c>
      <c r="N142" s="75" t="str">
        <f t="shared" si="3"/>
        <v/>
      </c>
      <c r="O142" s="75"/>
    </row>
    <row r="143" spans="1:15" ht="18" customHeight="1">
      <c r="A143" s="206"/>
      <c r="B143" s="206"/>
      <c r="C143" s="206"/>
      <c r="D143" s="206"/>
      <c r="E143" s="206"/>
      <c r="F143" s="206"/>
      <c r="G143" s="206"/>
      <c r="H143" s="206"/>
      <c r="I143" s="46"/>
      <c r="J143" s="206"/>
      <c r="K143" s="71" t="s">
        <v>268</v>
      </c>
      <c r="L143" s="75" t="str">
        <f>IFERROR(L141/L$139,"")</f>
        <v/>
      </c>
      <c r="M143" s="75">
        <f t="shared" ca="1" si="3"/>
        <v>-0.74877917018049622</v>
      </c>
      <c r="N143" s="75" t="str">
        <f t="shared" si="3"/>
        <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10</v>
      </c>
      <c r="B161" s="51"/>
      <c r="C161" s="76" t="s">
        <v>249</v>
      </c>
      <c r="D161" s="76" t="s">
        <v>270</v>
      </c>
      <c r="E161" s="76" t="s">
        <v>251</v>
      </c>
      <c r="F161" s="76" t="s">
        <v>271</v>
      </c>
      <c r="G161" s="77">
        <v>9</v>
      </c>
      <c r="H161" s="76"/>
      <c r="I161" s="76" t="s">
        <v>249</v>
      </c>
      <c r="J161" s="76" t="s">
        <v>270</v>
      </c>
      <c r="K161" s="76" t="s">
        <v>251</v>
      </c>
      <c r="L161" s="51" t="s">
        <v>271</v>
      </c>
      <c r="R161" s="206"/>
      <c r="S161" s="206"/>
    </row>
    <row r="162" spans="1:19" s="46" customFormat="1">
      <c r="A162" s="47">
        <v>1</v>
      </c>
      <c r="B162" s="51" t="s">
        <v>166</v>
      </c>
      <c r="C162" s="51">
        <v>0</v>
      </c>
      <c r="D162" s="51">
        <v>0.99822435421293132</v>
      </c>
      <c r="E162" s="51">
        <v>0</v>
      </c>
      <c r="F162" s="47">
        <v>12153634</v>
      </c>
      <c r="G162" s="47">
        <v>1</v>
      </c>
      <c r="H162" s="51" t="s">
        <v>166</v>
      </c>
      <c r="I162" s="51">
        <v>0</v>
      </c>
      <c r="J162" s="51">
        <v>0.99460850438670678</v>
      </c>
      <c r="K162" s="51">
        <v>0</v>
      </c>
      <c r="L162" s="47">
        <v>12153634</v>
      </c>
      <c r="R162" s="206"/>
      <c r="S162" s="206"/>
    </row>
    <row r="163" spans="1:19" s="46" customFormat="1">
      <c r="A163" s="47">
        <v>2</v>
      </c>
      <c r="B163" s="51" t="s">
        <v>171</v>
      </c>
      <c r="C163" s="51">
        <v>0</v>
      </c>
      <c r="D163" s="51">
        <v>1.2021543207031615E-3</v>
      </c>
      <c r="E163" s="51">
        <v>0</v>
      </c>
      <c r="F163" s="47">
        <v>3689192</v>
      </c>
      <c r="G163" s="47">
        <v>2</v>
      </c>
      <c r="H163" s="51" t="s">
        <v>171</v>
      </c>
      <c r="I163" s="51">
        <v>0</v>
      </c>
      <c r="J163" s="51">
        <v>4.84975312073132E-3</v>
      </c>
      <c r="K163" s="51">
        <v>0</v>
      </c>
      <c r="L163" s="47">
        <v>3689192</v>
      </c>
      <c r="N163" s="46" t="s">
        <v>272</v>
      </c>
      <c r="R163" s="206"/>
      <c r="S163" s="206"/>
    </row>
    <row r="164" spans="1:19" s="46" customFormat="1">
      <c r="A164" s="47">
        <v>3</v>
      </c>
      <c r="B164" s="51" t="s">
        <v>329</v>
      </c>
      <c r="C164" s="51">
        <v>0</v>
      </c>
      <c r="D164" s="51">
        <v>3.665989744363395E-4</v>
      </c>
      <c r="E164" s="51">
        <v>0</v>
      </c>
      <c r="F164" s="47">
        <v>11115023</v>
      </c>
      <c r="G164" s="47">
        <v>3</v>
      </c>
      <c r="H164" s="51" t="s">
        <v>170</v>
      </c>
      <c r="I164" s="51">
        <v>0</v>
      </c>
      <c r="J164" s="51">
        <v>1.879805917589754E-4</v>
      </c>
      <c r="K164" s="51">
        <v>0</v>
      </c>
      <c r="L164" s="47">
        <v>3050596</v>
      </c>
      <c r="N164" s="46" t="s">
        <v>273</v>
      </c>
      <c r="R164" s="206"/>
      <c r="S164" s="206"/>
    </row>
    <row r="165" spans="1:19" s="46" customFormat="1">
      <c r="A165" s="47">
        <v>4</v>
      </c>
      <c r="B165" s="51" t="s">
        <v>170</v>
      </c>
      <c r="C165" s="51">
        <v>0</v>
      </c>
      <c r="D165" s="51">
        <v>1.3066894084773844E-4</v>
      </c>
      <c r="E165" s="51">
        <v>0</v>
      </c>
      <c r="F165" s="47">
        <v>3050596</v>
      </c>
      <c r="G165" s="47">
        <v>4</v>
      </c>
      <c r="H165" s="51" t="s">
        <v>329</v>
      </c>
      <c r="I165" s="51">
        <v>0</v>
      </c>
      <c r="J165" s="51">
        <v>1.696213826975773E-4</v>
      </c>
      <c r="K165" s="51">
        <v>0</v>
      </c>
      <c r="L165" s="47">
        <v>11115023</v>
      </c>
      <c r="R165" s="206"/>
      <c r="S165" s="206"/>
    </row>
    <row r="166" spans="1:19" s="46" customFormat="1">
      <c r="A166" s="47">
        <v>5</v>
      </c>
      <c r="B166" s="51" t="s">
        <v>241</v>
      </c>
      <c r="C166" s="51">
        <v>0</v>
      </c>
      <c r="D166" s="51">
        <v>5.0089762235826731E-5</v>
      </c>
      <c r="E166" s="51">
        <v>0</v>
      </c>
      <c r="F166" s="47">
        <v>2480382</v>
      </c>
      <c r="G166" s="47">
        <v>5</v>
      </c>
      <c r="H166" s="51" t="s">
        <v>167</v>
      </c>
      <c r="I166" s="51">
        <v>0</v>
      </c>
      <c r="J166" s="51">
        <v>9.8415516447087663E-5</v>
      </c>
      <c r="K166" s="51">
        <v>0</v>
      </c>
      <c r="L166" s="47">
        <v>1692097</v>
      </c>
      <c r="R166" s="206"/>
      <c r="S166" s="206"/>
    </row>
    <row r="167" spans="1:19" s="46" customFormat="1">
      <c r="A167" s="47">
        <v>6</v>
      </c>
      <c r="B167" s="51" t="s">
        <v>378</v>
      </c>
      <c r="C167" s="51">
        <v>0</v>
      </c>
      <c r="D167" s="51">
        <v>0</v>
      </c>
      <c r="E167" s="51">
        <v>0</v>
      </c>
      <c r="F167" s="47">
        <v>553960</v>
      </c>
      <c r="G167" s="47">
        <v>6</v>
      </c>
      <c r="H167" s="51" t="s">
        <v>378</v>
      </c>
      <c r="I167" s="51">
        <v>0</v>
      </c>
      <c r="J167" s="51">
        <v>0</v>
      </c>
      <c r="K167" s="51">
        <v>0</v>
      </c>
      <c r="L167" s="47">
        <v>553960</v>
      </c>
      <c r="R167" s="206"/>
      <c r="S167" s="206"/>
    </row>
    <row r="168" spans="1:19" s="46" customFormat="1">
      <c r="A168" s="47">
        <v>7</v>
      </c>
      <c r="B168" s="51" t="s">
        <v>167</v>
      </c>
      <c r="C168" s="51">
        <v>0</v>
      </c>
      <c r="D168" s="51">
        <v>0</v>
      </c>
      <c r="E168" s="51">
        <v>0</v>
      </c>
      <c r="F168" s="47">
        <v>1692097</v>
      </c>
      <c r="G168" s="47">
        <v>7</v>
      </c>
      <c r="H168" s="51" t="s">
        <v>416</v>
      </c>
      <c r="I168" s="51">
        <v>0</v>
      </c>
      <c r="J168" s="51">
        <v>0</v>
      </c>
      <c r="K168" s="51">
        <v>0</v>
      </c>
      <c r="L168" s="47">
        <v>7434864</v>
      </c>
      <c r="R168" s="206"/>
      <c r="S168" s="206"/>
    </row>
    <row r="169" spans="1:19" s="46" customFormat="1">
      <c r="A169" s="47">
        <v>8</v>
      </c>
      <c r="B169" s="51" t="s">
        <v>416</v>
      </c>
      <c r="C169" s="51">
        <v>0</v>
      </c>
      <c r="D169" s="51">
        <v>0</v>
      </c>
      <c r="E169" s="51">
        <v>0</v>
      </c>
      <c r="F169" s="47">
        <v>7434864</v>
      </c>
      <c r="G169" s="47">
        <v>8</v>
      </c>
      <c r="H169" s="51" t="s">
        <v>245</v>
      </c>
      <c r="I169" s="51">
        <v>0</v>
      </c>
      <c r="J169" s="51">
        <v>8.5725001658265576E-5</v>
      </c>
      <c r="K169" s="51">
        <v>0</v>
      </c>
      <c r="L169" s="47">
        <v>5920853</v>
      </c>
      <c r="R169" s="206"/>
      <c r="S169" s="206"/>
    </row>
    <row r="170" spans="1:19" s="46" customFormat="1">
      <c r="A170" s="47">
        <v>9</v>
      </c>
      <c r="B170" s="51" t="s">
        <v>245</v>
      </c>
      <c r="C170" s="51">
        <v>0</v>
      </c>
      <c r="D170" s="51">
        <v>2.6133788845528194E-5</v>
      </c>
      <c r="E170" s="51">
        <v>0</v>
      </c>
      <c r="F170" s="47">
        <v>5920853</v>
      </c>
      <c r="G170" s="47">
        <v>9</v>
      </c>
      <c r="H170" s="51"/>
      <c r="I170" s="51">
        <v>0</v>
      </c>
      <c r="J170" s="51">
        <v>0</v>
      </c>
      <c r="K170" s="51">
        <v>0</v>
      </c>
      <c r="L170" s="47">
        <v>2480382</v>
      </c>
      <c r="R170" s="206"/>
      <c r="S170" s="206"/>
    </row>
    <row r="171" spans="1:19" s="46" customFormat="1">
      <c r="A171" s="47">
        <v>10</v>
      </c>
      <c r="B171" s="51"/>
      <c r="C171" s="51">
        <v>0</v>
      </c>
      <c r="D171" s="51">
        <v>0</v>
      </c>
      <c r="E171" s="51">
        <v>0</v>
      </c>
      <c r="F171" s="47">
        <v>2480382</v>
      </c>
      <c r="G171" s="47">
        <v>10</v>
      </c>
      <c r="H171" s="51"/>
      <c r="I171" s="51">
        <v>0</v>
      </c>
      <c r="J171" s="51">
        <v>0</v>
      </c>
      <c r="K171" s="51">
        <v>0</v>
      </c>
      <c r="L171" s="47">
        <v>2480382</v>
      </c>
      <c r="R171" s="206"/>
      <c r="S171" s="206"/>
    </row>
    <row r="172" spans="1:19" s="46" customFormat="1">
      <c r="A172" s="47">
        <v>11</v>
      </c>
      <c r="B172" s="51"/>
      <c r="C172" s="51">
        <v>0</v>
      </c>
      <c r="D172" s="51">
        <v>0</v>
      </c>
      <c r="E172" s="51">
        <v>0</v>
      </c>
      <c r="F172" s="47">
        <v>2480382</v>
      </c>
      <c r="G172" s="47">
        <v>11</v>
      </c>
      <c r="H172" s="51"/>
      <c r="I172" s="51">
        <v>0</v>
      </c>
      <c r="J172" s="51">
        <v>0</v>
      </c>
      <c r="K172" s="51">
        <v>0</v>
      </c>
      <c r="L172" s="47">
        <v>2480382</v>
      </c>
      <c r="R172" s="206"/>
      <c r="S172" s="206"/>
    </row>
    <row r="173" spans="1:19" s="46" customFormat="1">
      <c r="A173" s="47">
        <v>12</v>
      </c>
      <c r="B173" s="51"/>
      <c r="C173" s="51">
        <v>0</v>
      </c>
      <c r="D173" s="51">
        <v>0</v>
      </c>
      <c r="E173" s="51">
        <v>0</v>
      </c>
      <c r="F173" s="47">
        <v>2480382</v>
      </c>
      <c r="G173" s="47">
        <v>12</v>
      </c>
      <c r="H173" s="51"/>
      <c r="I173" s="51">
        <v>0</v>
      </c>
      <c r="J173" s="51">
        <v>0</v>
      </c>
      <c r="K173" s="51">
        <v>0</v>
      </c>
      <c r="L173" s="47">
        <v>2480382</v>
      </c>
      <c r="R173" s="206"/>
      <c r="S173" s="206"/>
    </row>
    <row r="174" spans="1:19" s="46" customFormat="1">
      <c r="A174" s="47">
        <v>13</v>
      </c>
      <c r="B174" s="51"/>
      <c r="C174" s="51">
        <v>0</v>
      </c>
      <c r="D174" s="51">
        <v>0</v>
      </c>
      <c r="E174" s="51">
        <v>0</v>
      </c>
      <c r="F174" s="47">
        <v>2480382</v>
      </c>
      <c r="G174" s="47">
        <v>13</v>
      </c>
      <c r="H174" s="51"/>
      <c r="I174" s="51">
        <v>0</v>
      </c>
      <c r="J174" s="51">
        <v>0</v>
      </c>
      <c r="K174" s="51">
        <v>0</v>
      </c>
      <c r="L174" s="47">
        <v>2480382</v>
      </c>
      <c r="R174" s="206"/>
      <c r="S174" s="206"/>
    </row>
    <row r="175" spans="1:19" s="46" customFormat="1">
      <c r="A175" s="47">
        <v>14</v>
      </c>
      <c r="B175" s="51"/>
      <c r="C175" s="51">
        <v>0</v>
      </c>
      <c r="D175" s="51">
        <v>0</v>
      </c>
      <c r="E175" s="51">
        <v>0</v>
      </c>
      <c r="F175" s="47">
        <v>2480382</v>
      </c>
      <c r="G175" s="47">
        <v>14</v>
      </c>
      <c r="H175" s="51"/>
      <c r="I175" s="51">
        <v>0</v>
      </c>
      <c r="J175" s="51">
        <v>0</v>
      </c>
      <c r="K175" s="51">
        <v>0</v>
      </c>
      <c r="L175" s="47">
        <v>2480382</v>
      </c>
      <c r="R175" s="206"/>
      <c r="S175" s="206"/>
    </row>
    <row r="176" spans="1:19" s="46" customFormat="1">
      <c r="A176" s="47">
        <v>15</v>
      </c>
      <c r="B176" s="51"/>
      <c r="C176" s="51">
        <v>0</v>
      </c>
      <c r="D176" s="51">
        <v>0</v>
      </c>
      <c r="E176" s="51">
        <v>0</v>
      </c>
      <c r="F176" s="47">
        <v>2480382</v>
      </c>
      <c r="G176" s="47">
        <v>15</v>
      </c>
      <c r="H176" s="51"/>
      <c r="I176" s="51">
        <v>0</v>
      </c>
      <c r="J176" s="51">
        <v>0</v>
      </c>
      <c r="K176" s="51">
        <v>0</v>
      </c>
      <c r="L176" s="47">
        <v>2480382</v>
      </c>
      <c r="R176" s="206"/>
      <c r="S176" s="206"/>
    </row>
    <row r="177" spans="1:19" s="46" customFormat="1">
      <c r="A177" s="47">
        <v>16</v>
      </c>
      <c r="B177" s="51"/>
      <c r="C177" s="51">
        <v>0</v>
      </c>
      <c r="D177" s="51">
        <v>0</v>
      </c>
      <c r="E177" s="51">
        <v>0</v>
      </c>
      <c r="F177" s="47">
        <v>2480382</v>
      </c>
      <c r="G177" s="47">
        <v>16</v>
      </c>
      <c r="H177" s="51"/>
      <c r="I177" s="51">
        <v>0</v>
      </c>
      <c r="J177" s="51">
        <v>0</v>
      </c>
      <c r="K177" s="51">
        <v>0</v>
      </c>
      <c r="L177" s="47">
        <v>2480382</v>
      </c>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2D3FA1E1-043C-46EA-9FEE-F0821827B4E2}">
      <formula1>$C$112:$C$113</formula1>
    </dataValidation>
  </dataValidations>
  <hyperlinks>
    <hyperlink ref="O1:P1" location="Home_page" display="Back to home page" xr:uid="{0BB83B31-B592-4D83-81D3-FA8A8271FA53}"/>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BE9155C8-B0B8-441B-B4DE-6EF1947091B8}">
          <x14:colorSeries rgb="FF323232"/>
          <x14:colorNegative rgb="FFD00000"/>
          <x14:colorAxis rgb="FF000000"/>
          <x14:colorMarkers rgb="FFD00000"/>
          <x14:colorFirst rgb="FFD00000"/>
          <x14:colorLast rgb="FFD00000"/>
          <x14:colorHigh rgb="FFD00000"/>
          <x14:colorLow rgb="FFD00000"/>
          <x14:sparklines>
            <x14:sparkline>
              <xm:f>'NS beam trawl under 300kW'!D3:N3</xm:f>
              <xm:sqref>C3</xm:sqref>
            </x14:sparkline>
            <x14:sparkline>
              <xm:f>'NS beam trawl under 300kW'!D4:N4</xm:f>
              <xm:sqref>C4</xm:sqref>
            </x14:sparkline>
            <x14:sparkline>
              <xm:f>'NS beam trawl under 300kW'!D5:N5</xm:f>
              <xm:sqref>C5</xm:sqref>
            </x14:sparkline>
            <x14:sparkline>
              <xm:f>'NS beam trawl under 300kW'!D6:N6</xm:f>
              <xm:sqref>C6</xm:sqref>
            </x14:sparkline>
            <x14:sparkline>
              <xm:f>'NS beam trawl under 300kW'!D7:N7</xm:f>
              <xm:sqref>C7</xm:sqref>
            </x14:sparkline>
            <x14:sparkline>
              <xm:f>'NS beam trawl under 300kW'!D8:N8</xm:f>
              <xm:sqref>C8</xm:sqref>
            </x14:sparkline>
            <x14:sparkline>
              <xm:f>'NS beam trawl under 300kW'!D9:N9</xm:f>
              <xm:sqref>C9</xm:sqref>
            </x14:sparkline>
            <x14:sparkline>
              <xm:f>'NS beam trawl under 300kW'!D10:N10</xm:f>
              <xm:sqref>C10</xm:sqref>
            </x14:sparkline>
            <x14:sparkline>
              <xm:f>'NS beam trawl under 300kW'!D11:N11</xm:f>
              <xm:sqref>C11</xm:sqref>
            </x14:sparkline>
            <x14:sparkline>
              <xm:f>'NS beam trawl under 300kW'!D12:N12</xm:f>
              <xm:sqref>C12</xm:sqref>
            </x14:sparkline>
            <x14:sparkline>
              <xm:f>'NS beam trawl under 300kW'!D13:N13</xm:f>
              <xm:sqref>C13</xm:sqref>
            </x14:sparkline>
            <x14:sparkline>
              <xm:f>'NS beam trawl under 300kW'!D14:N14</xm:f>
              <xm:sqref>C14</xm:sqref>
            </x14:sparkline>
            <x14:sparkline>
              <xm:f>'NS beam trawl under 300kW'!D15:N15</xm:f>
              <xm:sqref>C15</xm:sqref>
            </x14:sparkline>
            <x14:sparkline>
              <xm:f>'NS beam trawl under 300kW'!D16:N16</xm:f>
              <xm:sqref>C16</xm:sqref>
            </x14:sparkline>
            <x14:sparkline>
              <xm:f>'NS beam trawl under 300kW'!D17:N17</xm:f>
              <xm:sqref>C17</xm:sqref>
            </x14:sparkline>
            <x14:sparkline>
              <xm:f>'NS beam trawl under 300kW'!D18:N18</xm:f>
              <xm:sqref>C18</xm:sqref>
            </x14:sparkline>
            <x14:sparkline>
              <xm:f>'NS beam trawl under 300kW'!D19:N19</xm:f>
              <xm:sqref>C19</xm:sqref>
            </x14:sparkline>
            <x14:sparkline>
              <xm:f>'NS beam trawl under 300kW'!D20:N20</xm:f>
              <xm:sqref>C20</xm:sqref>
            </x14:sparkline>
            <x14:sparkline>
              <xm:f>'NS beam trawl under 300kW'!D21:N21</xm:f>
              <xm:sqref>C21</xm:sqref>
            </x14:sparkline>
            <x14:sparkline>
              <xm:f>'NS beam trawl under 300kW'!D22:N22</xm:f>
              <xm:sqref>C22</xm:sqref>
            </x14:sparkline>
            <x14:sparkline>
              <xm:f>'NS beam trawl under 300kW'!D23:N23</xm:f>
              <xm:sqref>C23</xm:sqref>
            </x14:sparkline>
            <x14:sparkline>
              <xm:f>'NS beam trawl under 300kW'!D24:N24</xm:f>
              <xm:sqref>C24</xm:sqref>
            </x14:sparkline>
            <x14:sparkline>
              <xm:f>'NS beam trawl under 300kW'!D25:N25</xm:f>
              <xm:sqref>C25</xm:sqref>
            </x14:sparkline>
            <x14:sparkline>
              <xm:f>'NS beam trawl under 300kW'!D26:N26</xm:f>
              <xm:sqref>C26</xm:sqref>
            </x14:sparkline>
            <x14:sparkline>
              <xm:f>'NS beam trawl under 300kW'!D27:N27</xm:f>
              <xm:sqref>C27</xm:sqref>
            </x14:sparkline>
            <x14:sparkline>
              <xm:f>'NS beam trawl under 300kW'!D28:N28</xm:f>
              <xm:sqref>C28</xm:sqref>
            </x14:sparkline>
            <x14:sparkline>
              <xm:f>'NS beam trawl under 300kW'!D29:N29</xm:f>
              <xm:sqref>C29</xm:sqref>
            </x14:sparkline>
            <x14:sparkline>
              <xm:f>'NS beam trawl under 300kW'!D30:N30</xm:f>
              <xm:sqref>C30</xm:sqref>
            </x14:sparkline>
            <x14:sparkline>
              <xm:f>'NS beam trawl under 300kW'!D31:N31</xm:f>
              <xm:sqref>C31</xm:sqref>
            </x14:sparkline>
            <x14:sparkline>
              <xm:f>'NS beam trawl under 300kW'!D32:N32</xm:f>
              <xm:sqref>C32</xm:sqref>
            </x14:sparkline>
            <x14:sparkline>
              <xm:f>'NS beam trawl under 300kW'!D33:N33</xm:f>
              <xm:sqref>C33</xm:sqref>
            </x14:sparkline>
            <x14:sparkline>
              <xm:f>'NS beam trawl under 300kW'!D34:N34</xm:f>
              <xm:sqref>C34</xm:sqref>
            </x14:sparkline>
            <x14:sparkline>
              <xm:f>'NS beam trawl under 300kW'!D35:N35</xm:f>
              <xm:sqref>C35</xm:sqref>
            </x14:sparkline>
            <x14:sparkline>
              <xm:f>'NS beam trawl under 300kW'!D36:N36</xm:f>
              <xm:sqref>C36</xm:sqref>
            </x14:sparkline>
            <x14:sparkline>
              <xm:f>'NS beam trawl under 300kW'!D37:N37</xm:f>
              <xm:sqref>C37</xm:sqref>
            </x14:sparkline>
            <x14:sparkline>
              <xm:f>'NS beam trawl under 300kW'!D38:N38</xm:f>
              <xm:sqref>C38</xm:sqref>
            </x14:sparkline>
            <x14:sparkline>
              <xm:f>'NS beam trawl under 300kW'!D39:N39</xm:f>
              <xm:sqref>C39</xm:sqref>
            </x14:sparkline>
            <x14:sparkline>
              <xm:f>'NS beam trawl under 300kW'!D40:N40</xm:f>
              <xm:sqref>C40</xm:sqref>
            </x14:sparkline>
            <x14:sparkline>
              <xm:f>'NS beam trawl under 300kW'!D41:N41</xm:f>
              <xm:sqref>C41</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03FF2-CA58-445E-BA23-244B3BD19EFC}">
  <sheetPr codeName="Feuil19">
    <pageSetUpPr fitToPage="1"/>
  </sheetPr>
  <dimension ref="A1:S192"/>
  <sheetViews>
    <sheetView topLeftCell="A4"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22</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96</v>
      </c>
      <c r="E3" s="27">
        <v>83</v>
      </c>
      <c r="F3" s="27">
        <v>72</v>
      </c>
      <c r="G3" s="27">
        <v>54</v>
      </c>
      <c r="H3" s="27">
        <v>59</v>
      </c>
      <c r="I3" s="27">
        <v>43</v>
      </c>
      <c r="J3" s="27">
        <v>49</v>
      </c>
      <c r="K3" s="27">
        <v>53</v>
      </c>
      <c r="L3" s="27">
        <v>40</v>
      </c>
      <c r="M3" s="27">
        <v>72</v>
      </c>
      <c r="N3" s="27">
        <v>53</v>
      </c>
      <c r="O3" s="28">
        <f t="shared" ref="O3:O41" si="0">IF(N3=0,"",IFERROR(IF(AND(N3&gt;0,D3&lt;0),"na",IF(AND(N3&lt;0,D3&lt;0),-1,1)*(N3-D3)/D3),""))</f>
        <v>-0.44791666666666669</v>
      </c>
      <c r="P3" s="28">
        <f t="shared" ref="P3:P41" si="1">IF(N3=0,"",IFERROR(IF(AND(N3&gt;0,J3&lt;0),"na",IF(AND(N3&lt;0,J3&lt;0),-1,1)*(N3-J3)/J3),""))</f>
        <v>8.1632653061224483E-2</v>
      </c>
      <c r="Q3" s="206"/>
    </row>
    <row r="4" spans="1:17" ht="18" customHeight="1">
      <c r="A4" s="172"/>
      <c r="B4" s="29" t="s">
        <v>184</v>
      </c>
      <c r="C4" s="30"/>
      <c r="D4" s="30">
        <v>41284</v>
      </c>
      <c r="E4" s="30">
        <v>36008</v>
      </c>
      <c r="F4" s="30">
        <v>30452</v>
      </c>
      <c r="G4" s="30">
        <v>24104</v>
      </c>
      <c r="H4" s="30">
        <v>25767</v>
      </c>
      <c r="I4" s="30">
        <v>18206</v>
      </c>
      <c r="J4" s="30">
        <v>20924</v>
      </c>
      <c r="K4" s="30">
        <v>22706</v>
      </c>
      <c r="L4" s="30">
        <v>17101</v>
      </c>
      <c r="M4" s="30">
        <v>31273</v>
      </c>
      <c r="N4" s="30">
        <v>22846</v>
      </c>
      <c r="O4" s="28">
        <f t="shared" si="0"/>
        <v>-0.44661370022284663</v>
      </c>
      <c r="P4" s="28">
        <f t="shared" si="1"/>
        <v>9.1856241636398397E-2</v>
      </c>
      <c r="Q4" s="206"/>
    </row>
    <row r="5" spans="1:17" ht="18" customHeight="1">
      <c r="A5" s="172"/>
      <c r="B5" s="29" t="s">
        <v>185</v>
      </c>
      <c r="C5" s="30"/>
      <c r="D5" s="30">
        <v>15032</v>
      </c>
      <c r="E5" s="30">
        <v>13191</v>
      </c>
      <c r="F5" s="30">
        <v>11251</v>
      </c>
      <c r="G5" s="30">
        <v>8758</v>
      </c>
      <c r="H5" s="30">
        <v>9184</v>
      </c>
      <c r="I5" s="30">
        <v>6507</v>
      </c>
      <c r="J5" s="30">
        <v>7787</v>
      </c>
      <c r="K5" s="30">
        <v>8434</v>
      </c>
      <c r="L5" s="30">
        <v>6238</v>
      </c>
      <c r="M5" s="30">
        <v>11615</v>
      </c>
      <c r="N5" s="30">
        <v>8399</v>
      </c>
      <c r="O5" s="28">
        <f t="shared" si="0"/>
        <v>-0.44125864821713678</v>
      </c>
      <c r="P5" s="28">
        <f t="shared" si="1"/>
        <v>7.8592526004879926E-2</v>
      </c>
      <c r="Q5" s="207"/>
    </row>
    <row r="6" spans="1:17" ht="18" customHeight="1">
      <c r="A6" s="172"/>
      <c r="B6" s="29" t="s">
        <v>186</v>
      </c>
      <c r="C6" s="30"/>
      <c r="D6" s="30">
        <v>32466.7890625</v>
      </c>
      <c r="E6" s="30">
        <v>28155.552734375</v>
      </c>
      <c r="F6" s="30">
        <v>24041.41015625</v>
      </c>
      <c r="G6" s="30">
        <v>18541.1484375</v>
      </c>
      <c r="H6" s="30">
        <v>20059.7734375</v>
      </c>
      <c r="I6" s="30">
        <v>14154.6806640625</v>
      </c>
      <c r="J6" s="30">
        <v>16407.720703125</v>
      </c>
      <c r="K6" s="30">
        <v>17701.189453125</v>
      </c>
      <c r="L6" s="30">
        <v>13238.3759765625</v>
      </c>
      <c r="M6" s="30">
        <v>24266.3515625</v>
      </c>
      <c r="N6" s="30">
        <v>17600.666015625</v>
      </c>
      <c r="O6" s="28">
        <f t="shared" si="0"/>
        <v>-0.45788707402684808</v>
      </c>
      <c r="P6" s="28">
        <f t="shared" si="1"/>
        <v>7.2706339538848488E-2</v>
      </c>
      <c r="Q6" s="206"/>
    </row>
    <row r="7" spans="1:17" ht="18" customHeight="1">
      <c r="A7" s="172"/>
      <c r="B7" s="29" t="s">
        <v>187</v>
      </c>
      <c r="C7" s="30"/>
      <c r="D7" s="30">
        <v>20109.595703125</v>
      </c>
      <c r="E7" s="30">
        <v>16557.8203125</v>
      </c>
      <c r="F7" s="30">
        <v>13675.2333984375</v>
      </c>
      <c r="G7" s="30">
        <v>10469.158203125</v>
      </c>
      <c r="H7" s="30">
        <v>13238.427734375</v>
      </c>
      <c r="I7" s="30">
        <v>7437.541015625</v>
      </c>
      <c r="J7" s="30">
        <v>10976.51171875</v>
      </c>
      <c r="K7" s="30">
        <v>14495.62109375</v>
      </c>
      <c r="L7" s="30">
        <v>10367.462890625</v>
      </c>
      <c r="M7" s="30">
        <v>21508.22265625</v>
      </c>
      <c r="N7" s="30">
        <v>12171.5302734375</v>
      </c>
      <c r="O7" s="28">
        <f t="shared" si="0"/>
        <v>-0.39474018010486095</v>
      </c>
      <c r="P7" s="28">
        <f t="shared" si="1"/>
        <v>0.10887052146504593</v>
      </c>
      <c r="Q7" s="206"/>
    </row>
    <row r="8" spans="1:17" ht="18" customHeight="1">
      <c r="A8" s="172"/>
      <c r="B8" s="29" t="s">
        <v>188</v>
      </c>
      <c r="C8" s="31"/>
      <c r="D8" s="31">
        <f ca="1">53.20318*OFFSET(D$112,MATCH($N$1,$C$112:$C$113,0)-1,0)</f>
        <v>53.203180000000003</v>
      </c>
      <c r="E8" s="31">
        <f ca="1">58.370096*OFFSET(E$112,MATCH($N$1,$C$112:$C$113,0)-1,0)</f>
        <v>58.370095999999997</v>
      </c>
      <c r="F8" s="31">
        <f ca="1">42.713*OFFSET(F$112,MATCH($N$1,$C$112:$C$113,0)-1,0)</f>
        <v>42.713000000000001</v>
      </c>
      <c r="G8" s="31">
        <f ca="1">25.970762*OFFSET(G$112,MATCH($N$1,$C$112:$C$113,0)-1,0)</f>
        <v>25.970762000000001</v>
      </c>
      <c r="H8" s="31">
        <f ca="1">37.486308*OFFSET(H$112,MATCH($N$1,$C$112:$C$113,0)-1,0)</f>
        <v>37.486308000000001</v>
      </c>
      <c r="I8" s="31">
        <f ca="1">19.03684*OFFSET(I$112,MATCH($N$1,$C$112:$C$113,0)-1,0)</f>
        <v>19.036840000000002</v>
      </c>
      <c r="J8" s="31">
        <f ca="1">32.079748*OFFSET(J$112,MATCH($N$1,$C$112:$C$113,0)-1,0)</f>
        <v>32.079748000000002</v>
      </c>
      <c r="K8" s="31">
        <f ca="1">41.805612*OFFSET(K$112,MATCH($N$1,$C$112:$C$113,0)-1,0)</f>
        <v>41.805612000000004</v>
      </c>
      <c r="L8" s="31">
        <f ca="1">26.481894*OFFSET(L$112,MATCH($N$1,$C$112:$C$113,0)-1,0)</f>
        <v>26.481894</v>
      </c>
      <c r="M8" s="31">
        <f ca="1">57.062184*OFFSET(M$112,MATCH($N$1,$C$112:$C$113,0)-1,0)</f>
        <v>57.062184000000002</v>
      </c>
      <c r="N8" s="31">
        <v>23.380395999999998</v>
      </c>
      <c r="O8" s="28">
        <f t="shared" ca="1" si="0"/>
        <v>-0.56054514034687408</v>
      </c>
      <c r="P8" s="28">
        <f t="shared" ca="1" si="1"/>
        <v>-0.27117893818866667</v>
      </c>
      <c r="Q8" s="206"/>
    </row>
    <row r="9" spans="1:17" ht="18" customHeight="1">
      <c r="A9" s="172"/>
      <c r="B9" s="29" t="s">
        <v>189</v>
      </c>
      <c r="C9" s="30"/>
      <c r="D9" s="30">
        <v>17534</v>
      </c>
      <c r="E9" s="30">
        <v>15262</v>
      </c>
      <c r="F9" s="30">
        <v>12619</v>
      </c>
      <c r="G9" s="30">
        <v>8839</v>
      </c>
      <c r="H9" s="30">
        <v>11039</v>
      </c>
      <c r="I9" s="30">
        <v>7242</v>
      </c>
      <c r="J9" s="30">
        <v>9861</v>
      </c>
      <c r="K9" s="30">
        <v>10780</v>
      </c>
      <c r="L9" s="30">
        <v>7815</v>
      </c>
      <c r="M9" s="30">
        <v>14746</v>
      </c>
      <c r="N9" s="30">
        <v>8845</v>
      </c>
      <c r="O9" s="28">
        <f t="shared" si="0"/>
        <v>-0.49555149994296793</v>
      </c>
      <c r="P9" s="28">
        <f t="shared" si="1"/>
        <v>-0.10303214684109117</v>
      </c>
      <c r="Q9" s="206"/>
    </row>
    <row r="10" spans="1:17" ht="18" customHeight="1">
      <c r="A10" s="172"/>
      <c r="B10" s="29" t="s">
        <v>190</v>
      </c>
      <c r="C10" s="30"/>
      <c r="D10" s="30">
        <v>713.82177734375</v>
      </c>
      <c r="E10" s="30">
        <v>670.8680419921875</v>
      </c>
      <c r="F10" s="30">
        <v>586.73687744140625</v>
      </c>
      <c r="G10" s="30">
        <v>306.75210571289063</v>
      </c>
      <c r="H10" s="30">
        <v>401.079833984375</v>
      </c>
      <c r="I10" s="30">
        <v>199.17385864257813</v>
      </c>
      <c r="J10" s="30">
        <v>395.02960205078125</v>
      </c>
      <c r="K10" s="30">
        <v>382.66384887695313</v>
      </c>
      <c r="L10" s="30">
        <v>274.90509033203125</v>
      </c>
      <c r="M10" s="30">
        <v>113.99362182617188</v>
      </c>
      <c r="N10" s="30">
        <v>85.68377685546875</v>
      </c>
      <c r="O10" s="32">
        <f t="shared" si="0"/>
        <v>-0.87996474809957126</v>
      </c>
      <c r="P10" s="32">
        <f t="shared" si="1"/>
        <v>-0.78309530118592463</v>
      </c>
      <c r="Q10" s="206"/>
    </row>
    <row r="11" spans="1:17" ht="18" customHeight="1">
      <c r="A11" s="173" t="s">
        <v>191</v>
      </c>
      <c r="B11" s="33" t="s">
        <v>192</v>
      </c>
      <c r="C11" s="34"/>
      <c r="D11" s="34">
        <v>20.952917098999023</v>
      </c>
      <c r="E11" s="34">
        <v>20.748434066772461</v>
      </c>
      <c r="F11" s="34">
        <v>20.570138931274414</v>
      </c>
      <c r="G11" s="34">
        <v>20.563148498535156</v>
      </c>
      <c r="H11" s="34">
        <v>20.493728637695313</v>
      </c>
      <c r="I11" s="34">
        <v>20.27790641784668</v>
      </c>
      <c r="J11" s="34">
        <v>20.62755012512207</v>
      </c>
      <c r="K11" s="34">
        <v>20.568302154541016</v>
      </c>
      <c r="L11" s="34">
        <v>20.273250579833984</v>
      </c>
      <c r="M11" s="34">
        <v>20.546388626098633</v>
      </c>
      <c r="N11" s="34">
        <v>20.092830657958984</v>
      </c>
      <c r="O11" s="28">
        <f t="shared" si="0"/>
        <v>-4.1048529757277935E-2</v>
      </c>
      <c r="P11" s="28">
        <f t="shared" si="1"/>
        <v>-2.5922587215621736E-2</v>
      </c>
      <c r="Q11" s="206"/>
    </row>
    <row r="12" spans="1:17" ht="18" customHeight="1">
      <c r="A12" s="174"/>
      <c r="B12" s="35" t="s">
        <v>184</v>
      </c>
      <c r="C12" s="30"/>
      <c r="D12" s="30">
        <v>430.04165649414063</v>
      </c>
      <c r="E12" s="30">
        <v>433.83132934570313</v>
      </c>
      <c r="F12" s="30">
        <v>422.9444580078125</v>
      </c>
      <c r="G12" s="30">
        <v>446.370361328125</v>
      </c>
      <c r="H12" s="30">
        <v>436.72882080078125</v>
      </c>
      <c r="I12" s="30">
        <v>423.39535522460938</v>
      </c>
      <c r="J12" s="30">
        <v>427.02041625976563</v>
      </c>
      <c r="K12" s="30">
        <v>428.41510009765625</v>
      </c>
      <c r="L12" s="30">
        <v>427.52499389648438</v>
      </c>
      <c r="M12" s="30">
        <v>434.34722900390625</v>
      </c>
      <c r="N12" s="30">
        <v>431.05661010742188</v>
      </c>
      <c r="O12" s="28">
        <f t="shared" si="0"/>
        <v>2.3601286013906863E-3</v>
      </c>
      <c r="P12" s="28">
        <f t="shared" si="1"/>
        <v>9.4519926775607551E-3</v>
      </c>
      <c r="Q12" s="206"/>
    </row>
    <row r="13" spans="1:17" ht="18" customHeight="1">
      <c r="A13" s="174"/>
      <c r="B13" s="35" t="s">
        <v>185</v>
      </c>
      <c r="C13" s="30"/>
      <c r="D13" s="30">
        <v>156.58332824707031</v>
      </c>
      <c r="E13" s="30">
        <v>158.92770385742188</v>
      </c>
      <c r="F13" s="30">
        <v>156.26388549804688</v>
      </c>
      <c r="G13" s="30">
        <v>162.1851806640625</v>
      </c>
      <c r="H13" s="30">
        <v>155.6610107421875</v>
      </c>
      <c r="I13" s="30">
        <v>151.32557678222656</v>
      </c>
      <c r="J13" s="30">
        <v>158.91836547851563</v>
      </c>
      <c r="K13" s="30">
        <v>159.132080078125</v>
      </c>
      <c r="L13" s="30">
        <v>155.94999694824219</v>
      </c>
      <c r="M13" s="30">
        <v>161.31944274902344</v>
      </c>
      <c r="N13" s="30">
        <v>158.47169494628906</v>
      </c>
      <c r="O13" s="28">
        <f t="shared" si="0"/>
        <v>1.2059819652313985E-2</v>
      </c>
      <c r="P13" s="28">
        <f t="shared" si="1"/>
        <v>-2.8106917088003176E-3</v>
      </c>
      <c r="Q13" s="206"/>
    </row>
    <row r="14" spans="1:17" ht="18" customHeight="1">
      <c r="A14" s="174"/>
      <c r="B14" s="35" t="s">
        <v>186</v>
      </c>
      <c r="C14" s="30"/>
      <c r="D14" s="30">
        <v>338.19570922851563</v>
      </c>
      <c r="E14" s="30">
        <v>339.22354125976563</v>
      </c>
      <c r="F14" s="30">
        <v>333.90847778320313</v>
      </c>
      <c r="G14" s="30">
        <v>343.3546142578125</v>
      </c>
      <c r="H14" s="30">
        <v>339.99618530273438</v>
      </c>
      <c r="I14" s="30">
        <v>329.17861938476563</v>
      </c>
      <c r="J14" s="30">
        <v>334.8514404296875</v>
      </c>
      <c r="K14" s="30">
        <v>333.98471069335938</v>
      </c>
      <c r="L14" s="30">
        <v>330.95941162109375</v>
      </c>
      <c r="M14" s="30">
        <v>337.03268432617188</v>
      </c>
      <c r="N14" s="30">
        <v>332.0880126953125</v>
      </c>
      <c r="O14" s="28">
        <f t="shared" si="0"/>
        <v>-1.805965116215065E-2</v>
      </c>
      <c r="P14" s="28">
        <f t="shared" si="1"/>
        <v>-8.2526977659971214E-3</v>
      </c>
      <c r="Q14" s="206"/>
    </row>
    <row r="15" spans="1:17" ht="18" customHeight="1">
      <c r="A15" s="174"/>
      <c r="B15" s="35" t="s">
        <v>187</v>
      </c>
      <c r="C15" s="31"/>
      <c r="D15" s="31">
        <v>209.47496032714844</v>
      </c>
      <c r="E15" s="31">
        <v>199.49180603027344</v>
      </c>
      <c r="F15" s="31">
        <v>189.93380737304688</v>
      </c>
      <c r="G15" s="31">
        <v>193.87330627441406</v>
      </c>
      <c r="H15" s="31">
        <v>224.380126953125</v>
      </c>
      <c r="I15" s="31">
        <v>172.96607971191406</v>
      </c>
      <c r="J15" s="31">
        <v>224.01043701171875</v>
      </c>
      <c r="K15" s="31">
        <v>273.50228881835938</v>
      </c>
      <c r="L15" s="31">
        <v>259.18655395507813</v>
      </c>
      <c r="M15" s="31">
        <v>298.72531127929688</v>
      </c>
      <c r="N15" s="31">
        <v>229.65151977539063</v>
      </c>
      <c r="O15" s="28">
        <f t="shared" si="0"/>
        <v>9.6319671891720887E-2</v>
      </c>
      <c r="P15" s="28">
        <f t="shared" si="1"/>
        <v>2.5182231859030617E-2</v>
      </c>
      <c r="Q15" s="206"/>
    </row>
    <row r="16" spans="1:17" ht="18" customHeight="1">
      <c r="A16" s="174"/>
      <c r="B16" s="35" t="s">
        <v>193</v>
      </c>
      <c r="C16" s="31"/>
      <c r="D16" s="31">
        <f ca="1">554.1998125*OFFSET(D$112,MATCH($N$1,$C$112:$C$113,0)-1,0)</f>
        <v>554.19981250000001</v>
      </c>
      <c r="E16" s="31">
        <f ca="1">703.2541875*OFFSET(E$112,MATCH($N$1,$C$112:$C$113,0)-1,0)</f>
        <v>703.25418749999994</v>
      </c>
      <c r="F16" s="31">
        <f ca="1">593.2360625*OFFSET(F$112,MATCH($N$1,$C$112:$C$113,0)-1,0)</f>
        <v>593.2360625</v>
      </c>
      <c r="G16" s="31">
        <f ca="1">480.94003125*OFFSET(G$112,MATCH($N$1,$C$112:$C$113,0)-1,0)</f>
        <v>480.94003125</v>
      </c>
      <c r="H16" s="31">
        <f ca="1">635.3611875*OFFSET(H$112,MATCH($N$1,$C$112:$C$113,0)-1,0)</f>
        <v>635.36118750000003</v>
      </c>
      <c r="I16" s="31">
        <f ca="1">442.7171875*OFFSET(I$112,MATCH($N$1,$C$112:$C$113,0)-1,0)</f>
        <v>442.71718750000002</v>
      </c>
      <c r="J16" s="31">
        <f ca="1">654.68875*OFFSET(J$112,MATCH($N$1,$C$112:$C$113,0)-1,0)</f>
        <v>654.68875000000003</v>
      </c>
      <c r="K16" s="31">
        <f ca="1">788.7851875*OFFSET(K$112,MATCH($N$1,$C$112:$C$113,0)-1,0)</f>
        <v>788.78518750000001</v>
      </c>
      <c r="L16" s="31">
        <f ca="1">662.047375*OFFSET(L$112,MATCH($N$1,$C$112:$C$113,0)-1,0)</f>
        <v>662.04737499999999</v>
      </c>
      <c r="M16" s="31">
        <f ca="1">792.5303125*OFFSET(M$112,MATCH($N$1,$C$112:$C$113,0)-1,0)</f>
        <v>792.53031250000004</v>
      </c>
      <c r="N16" s="31">
        <v>441.13956250000001</v>
      </c>
      <c r="O16" s="28">
        <f t="shared" ca="1" si="0"/>
        <v>-0.20400629420999669</v>
      </c>
      <c r="P16" s="28">
        <f t="shared" ca="1" si="1"/>
        <v>-0.32618429368153951</v>
      </c>
      <c r="Q16" s="206"/>
    </row>
    <row r="17" spans="1:16" ht="18" customHeight="1">
      <c r="A17" s="174"/>
      <c r="B17" s="35" t="s">
        <v>189</v>
      </c>
      <c r="C17" s="30"/>
      <c r="D17" s="30">
        <v>182.64582824707031</v>
      </c>
      <c r="E17" s="30">
        <v>183.8795166015625</v>
      </c>
      <c r="F17" s="30">
        <v>175.26388549804688</v>
      </c>
      <c r="G17" s="30">
        <v>163.6851806640625</v>
      </c>
      <c r="H17" s="30">
        <v>187.10169982910156</v>
      </c>
      <c r="I17" s="30">
        <v>168.41860961914063</v>
      </c>
      <c r="J17" s="30">
        <v>201.24490356445313</v>
      </c>
      <c r="K17" s="30">
        <v>203.39622497558594</v>
      </c>
      <c r="L17" s="30">
        <v>195.375</v>
      </c>
      <c r="M17" s="30">
        <v>204.80555725097656</v>
      </c>
      <c r="N17" s="30">
        <v>166.88679504394531</v>
      </c>
      <c r="O17" s="28">
        <f t="shared" si="0"/>
        <v>-8.6281922529362662E-2</v>
      </c>
      <c r="P17" s="28">
        <f t="shared" si="1"/>
        <v>-0.17072784409421762</v>
      </c>
    </row>
    <row r="18" spans="1:16" ht="18" customHeight="1">
      <c r="A18" s="174"/>
      <c r="B18" s="35" t="s">
        <v>194</v>
      </c>
      <c r="C18" s="30"/>
      <c r="D18" s="30">
        <v>19.979166030883789</v>
      </c>
      <c r="E18" s="30">
        <v>18.891565322875977</v>
      </c>
      <c r="F18" s="30">
        <v>19.652778625488281</v>
      </c>
      <c r="G18" s="30">
        <v>19.333333969116211</v>
      </c>
      <c r="H18" s="30">
        <v>20.135593414306641</v>
      </c>
      <c r="I18" s="30">
        <v>20.581396102905273</v>
      </c>
      <c r="J18" s="30">
        <v>21.612245559692383</v>
      </c>
      <c r="K18" s="30">
        <v>21.811321258544922</v>
      </c>
      <c r="L18" s="30">
        <v>21.850000381469727</v>
      </c>
      <c r="M18" s="30">
        <v>23.138889312744141</v>
      </c>
      <c r="N18" s="30">
        <v>23.264150619506836</v>
      </c>
      <c r="O18" s="28">
        <f t="shared" si="0"/>
        <v>0.16442050601837527</v>
      </c>
      <c r="P18" s="28">
        <f t="shared" si="1"/>
        <v>7.6433753968412968E-2</v>
      </c>
    </row>
    <row r="19" spans="1:16" ht="18" customHeight="1">
      <c r="A19" s="174"/>
      <c r="B19" s="35" t="s">
        <v>195</v>
      </c>
      <c r="C19" s="36"/>
      <c r="D19" s="36">
        <v>1.1468915939331055</v>
      </c>
      <c r="E19" s="36">
        <v>1.0849050283432007</v>
      </c>
      <c r="F19" s="36">
        <v>1.0837019681930542</v>
      </c>
      <c r="G19" s="36">
        <v>1.1844279766082764</v>
      </c>
      <c r="H19" s="36">
        <v>1.1992415189743042</v>
      </c>
      <c r="I19" s="36">
        <v>1.0270010232925415</v>
      </c>
      <c r="J19" s="36">
        <v>1.1131235361099243</v>
      </c>
      <c r="K19" s="36">
        <v>1.3446773290634155</v>
      </c>
      <c r="L19" s="36">
        <v>1.3266106843948364</v>
      </c>
      <c r="M19" s="36">
        <v>1.4585801362991333</v>
      </c>
      <c r="N19" s="36">
        <v>1.3760915994644165</v>
      </c>
      <c r="O19" s="28">
        <f t="shared" si="0"/>
        <v>0.19984452475172604</v>
      </c>
      <c r="P19" s="28">
        <f t="shared" si="1"/>
        <v>0.23624337714886237</v>
      </c>
    </row>
    <row r="20" spans="1:16" ht="18" customHeight="1">
      <c r="A20" s="175"/>
      <c r="B20" s="37" t="s">
        <v>196</v>
      </c>
      <c r="C20" s="38"/>
      <c r="D20" s="38">
        <f ca="1">2646*OFFSET(D$112,MATCH($N$1,$C$112:$C$113,0)-1,0)</f>
        <v>2646</v>
      </c>
      <c r="E20" s="38">
        <f ca="1">3525*OFFSET(E$112,MATCH($N$1,$C$112:$C$113,0)-1,0)</f>
        <v>3525</v>
      </c>
      <c r="F20" s="38">
        <f ca="1">3123*OFFSET(F$112,MATCH($N$1,$C$112:$C$113,0)-1,0)</f>
        <v>3123</v>
      </c>
      <c r="G20" s="38">
        <f ca="1">2481*OFFSET(G$112,MATCH($N$1,$C$112:$C$113,0)-1,0)</f>
        <v>2481</v>
      </c>
      <c r="H20" s="38">
        <f ca="1">2832*OFFSET(H$112,MATCH($N$1,$C$112:$C$113,0)-1,0)</f>
        <v>2832</v>
      </c>
      <c r="I20" s="38">
        <f ca="1">2560*OFFSET(I$112,MATCH($N$1,$C$112:$C$113,0)-1,0)</f>
        <v>2560</v>
      </c>
      <c r="J20" s="38">
        <f ca="1">2923*OFFSET(J$112,MATCH($N$1,$C$112:$C$113,0)-1,0)</f>
        <v>2923</v>
      </c>
      <c r="K20" s="38">
        <f ca="1">2884*OFFSET(K$112,MATCH($N$1,$C$112:$C$113,0)-1,0)</f>
        <v>2884</v>
      </c>
      <c r="L20" s="38">
        <f ca="1">2554*OFFSET(L$112,MATCH($N$1,$C$112:$C$113,0)-1,0)</f>
        <v>2554</v>
      </c>
      <c r="M20" s="38">
        <f ca="1">2653*OFFSET(M$112,MATCH($N$1,$C$112:$C$113,0)-1,0)</f>
        <v>2653</v>
      </c>
      <c r="N20" s="38">
        <v>1921</v>
      </c>
      <c r="O20" s="32">
        <f t="shared" ca="1" si="0"/>
        <v>-0.27399848828420259</v>
      </c>
      <c r="P20" s="32">
        <f t="shared" ca="1" si="1"/>
        <v>-0.34279849469722889</v>
      </c>
    </row>
    <row r="21" spans="1:16" ht="18" customHeight="1">
      <c r="A21" s="176" t="s">
        <v>197</v>
      </c>
      <c r="B21" s="33" t="s">
        <v>198</v>
      </c>
      <c r="C21" s="39"/>
      <c r="D21" s="39">
        <v>2.6249059617897195</v>
      </c>
      <c r="E21" s="39">
        <v>2.4523713397555462</v>
      </c>
      <c r="F21" s="39">
        <v>2.5428563450425679</v>
      </c>
      <c r="G21" s="39">
        <v>2.6160266558667833</v>
      </c>
      <c r="H21" s="39">
        <v>2.7120510853008399</v>
      </c>
      <c r="I21" s="39">
        <v>2.3938808048586151</v>
      </c>
      <c r="J21" s="39">
        <v>2.571719803006042</v>
      </c>
      <c r="K21" s="39">
        <v>3.0658547201577124</v>
      </c>
      <c r="L21" s="39">
        <v>3.0337396781285189</v>
      </c>
      <c r="M21" s="39">
        <v>3.2794883166935294</v>
      </c>
      <c r="N21" s="39">
        <v>3.1318263902879844</v>
      </c>
      <c r="O21" s="28">
        <f t="shared" si="0"/>
        <v>0.19311946251691062</v>
      </c>
      <c r="P21" s="28">
        <f t="shared" si="1"/>
        <v>0.21779456168873562</v>
      </c>
    </row>
    <row r="22" spans="1:16" ht="18" customHeight="1">
      <c r="A22" s="176"/>
      <c r="B22" s="35" t="s">
        <v>199</v>
      </c>
      <c r="C22" s="36"/>
      <c r="D22" s="36">
        <f ca="1">6.94461232780317*OFFSET(D$112,MATCH($N$1,$C$112:$C$113,0)-1,0)</f>
        <v>6.9446123278031697</v>
      </c>
      <c r="E22" s="36">
        <f ca="1">8.64516918417368*OFFSET(E$112,MATCH($N$1,$C$112:$C$113,0)-1,0)</f>
        <v>8.64516918417368</v>
      </c>
      <c r="F22" s="36">
        <f ca="1">7.94231478060848*OFFSET(F$112,MATCH($N$1,$C$112:$C$113,0)-1,0)</f>
        <v>7.9423147806084797</v>
      </c>
      <c r="G22" s="36">
        <f ca="1">6.489557359911*OFFSET(G$112,MATCH($N$1,$C$112:$C$113,0)-1,0)</f>
        <v>6.4895573599110001</v>
      </c>
      <c r="H22" s="36">
        <f ca="1">7.67952145101238*OFFSET(H$112,MATCH($N$1,$C$112:$C$113,0)-1,0)</f>
        <v>7.6795214510123797</v>
      </c>
      <c r="I22" s="36">
        <f ca="1">6.12728333152041*OFFSET(I$112,MATCH($N$1,$C$112:$C$113,0)-1,0)</f>
        <v>6.1272833315204096</v>
      </c>
      <c r="J22" s="36">
        <f ca="1">7.51606061592654*OFFSET(J$112,MATCH($N$1,$C$112:$C$113,0)-1,0)</f>
        <v>7.5160606159265404</v>
      </c>
      <c r="K22" s="36">
        <f ca="1">8.84197642635972*OFFSET(K$112,MATCH($N$1,$C$112:$C$113,0)-1,0)</f>
        <v>8.8419764263597198</v>
      </c>
      <c r="L22" s="36">
        <f ca="1">7.74916506928997*OFFSET(L$112,MATCH($N$1,$C$112:$C$113,0)-1,0)</f>
        <v>7.7491650692899698</v>
      </c>
      <c r="M22" s="36">
        <f ca="1">8.70061492057219*OFFSET(M$112,MATCH($N$1,$C$112:$C$113,0)-1,0)</f>
        <v>8.7006149205721908</v>
      </c>
      <c r="N22" s="36">
        <v>6.0159520171642455</v>
      </c>
      <c r="O22" s="28">
        <f t="shared" ca="1" si="0"/>
        <v>-0.13372385193065092</v>
      </c>
      <c r="P22" s="28">
        <f t="shared" ca="1" si="1"/>
        <v>-0.19958708097478128</v>
      </c>
    </row>
    <row r="23" spans="1:16" ht="18" customHeight="1">
      <c r="A23" s="176"/>
      <c r="B23" s="35" t="s">
        <v>154</v>
      </c>
      <c r="C23" s="36"/>
      <c r="D23" s="36">
        <f ca="1">6.50556967101736*OFFSET(D$112,MATCH($N$1,$C$112:$C$113,0)-1,0)</f>
        <v>6.5055696710173603</v>
      </c>
      <c r="E23" s="36">
        <f ca="1">7.93685393433241*OFFSET(E$112,MATCH($N$1,$C$112:$C$113,0)-1,0)</f>
        <v>7.9368539343324098</v>
      </c>
      <c r="F23" s="36">
        <f ca="1">7.46877854127243*OFFSET(F$112,MATCH($N$1,$C$112:$C$113,0)-1,0)</f>
        <v>7.4687785412724299</v>
      </c>
      <c r="G23" s="36">
        <f ca="1">6.21149212228176*OFFSET(G$112,MATCH($N$1,$C$112:$C$113,0)-1,0)</f>
        <v>6.2114921222817596</v>
      </c>
      <c r="H23" s="36">
        <f ca="1">7.5095036710531*OFFSET(H$112,MATCH($N$1,$C$112:$C$113,0)-1,0)</f>
        <v>7.5095036710530998</v>
      </c>
      <c r="I23" s="36">
        <f ca="1">5.85502870863166*OFFSET(I$112,MATCH($N$1,$C$112:$C$113,0)-1,0)</f>
        <v>5.8550287086316599</v>
      </c>
      <c r="J23" s="36">
        <f ca="1">6.9346308020312*OFFSET(J$112,MATCH($N$1,$C$112:$C$113,0)-1,0)</f>
        <v>6.9346308020312</v>
      </c>
      <c r="K23" s="36">
        <f ca="1">8.00482043995803*OFFSET(K$112,MATCH($N$1,$C$112:$C$113,0)-1,0)</f>
        <v>8.0048204399580296</v>
      </c>
      <c r="L23" s="36">
        <f ca="1">7.97404771331129*OFFSET(L$112,MATCH($N$1,$C$112:$C$113,0)-1,0)</f>
        <v>7.9740477133112897</v>
      </c>
      <c r="M23" s="36">
        <f ca="1">8.01081432891183*OFFSET(M$112,MATCH($N$1,$C$112:$C$113,0)-1,0)</f>
        <v>8.0108143289118292</v>
      </c>
      <c r="N23" s="36">
        <v>6.4662979397663962</v>
      </c>
      <c r="O23" s="28">
        <f t="shared" ca="1" si="0"/>
        <v>-6.0366321839456418E-3</v>
      </c>
      <c r="P23" s="28">
        <f t="shared" ca="1" si="1"/>
        <v>-6.7535370755084159E-2</v>
      </c>
    </row>
    <row r="24" spans="1:16" ht="18" customHeight="1">
      <c r="A24" s="176"/>
      <c r="B24" s="35" t="s">
        <v>155</v>
      </c>
      <c r="C24" s="36"/>
      <c r="D24" s="36">
        <f ca="1">0.568810351369841*OFFSET(D$112,MATCH($N$1,$C$112:$C$113,0)-1,0)</f>
        <v>0.56881035136984104</v>
      </c>
      <c r="E24" s="36">
        <f ca="1">0.988583173963306*OFFSET(E$112,MATCH($N$1,$C$112:$C$113,0)-1,0)</f>
        <v>0.98858317396330597</v>
      </c>
      <c r="F24" s="36">
        <f ca="1">0.849171442808258*OFFSET(F$112,MATCH($N$1,$C$112:$C$113,0)-1,0)</f>
        <v>0.84917144280825796</v>
      </c>
      <c r="G24" s="36">
        <f ca="1">0.593198924864372*OFFSET(G$112,MATCH($N$1,$C$112:$C$113,0)-1,0)</f>
        <v>0.59319892486437198</v>
      </c>
      <c r="H24" s="36">
        <f ca="1">0.647421773703205*OFFSET(H$112,MATCH($N$1,$C$112:$C$113,0)-1,0)</f>
        <v>0.64742177370320497</v>
      </c>
      <c r="I24" s="36">
        <f ca="1">0.648008452886855*OFFSET(I$112,MATCH($N$1,$C$112:$C$113,0)-1,0)</f>
        <v>0.64800845288685505</v>
      </c>
      <c r="J24" s="36">
        <f ca="1">1.0680003971486*OFFSET(J$112,MATCH($N$1,$C$112:$C$113,0)-1,0)</f>
        <v>1.0680003971486001</v>
      </c>
      <c r="K24" s="36">
        <f ca="1">1.1379109888446*OFFSET(K$112,MATCH($N$1,$C$112:$C$113,0)-1,0)</f>
        <v>1.1379109888446</v>
      </c>
      <c r="L24" s="36">
        <f ca="1">0.0634269863815902*OFFSET(L$112,MATCH($N$1,$C$112:$C$113,0)-1,0)</f>
        <v>6.3426986381590195E-2</v>
      </c>
      <c r="M24" s="36">
        <f ca="1">1.10412515506812*OFFSET(M$112,MATCH($N$1,$C$112:$C$113,0)-1,0)</f>
        <v>1.1041251550681199</v>
      </c>
      <c r="N24" s="36">
        <v>5.7712921915916891E-2</v>
      </c>
      <c r="O24" s="28">
        <f t="shared" ca="1" si="0"/>
        <v>-0.89853749711669373</v>
      </c>
      <c r="P24" s="28">
        <f t="shared" ca="1" si="1"/>
        <v>-0.94596170369411681</v>
      </c>
    </row>
    <row r="25" spans="1:16" ht="18" customHeight="1">
      <c r="A25" s="176"/>
      <c r="B25" s="35" t="s">
        <v>200</v>
      </c>
      <c r="C25" s="31"/>
      <c r="D25" s="31">
        <f ca="1">74.53*OFFSET(D$112,MATCH($N$1,$C$112:$C$113,0)-1,0)</f>
        <v>74.53</v>
      </c>
      <c r="E25" s="31">
        <f ca="1">87.01*OFFSET(E$112,MATCH($N$1,$C$112:$C$113,0)-1,0)</f>
        <v>87.01</v>
      </c>
      <c r="F25" s="31">
        <f ca="1">72.79*OFFSET(F$112,MATCH($N$1,$C$112:$C$113,0)-1,0)</f>
        <v>72.790000000000006</v>
      </c>
      <c r="G25" s="31">
        <f ca="1">84.66*OFFSET(G$112,MATCH($N$1,$C$112:$C$113,0)-1,0)</f>
        <v>84.66</v>
      </c>
      <c r="H25" s="31">
        <f ca="1">93.47*OFFSET(H$112,MATCH($N$1,$C$112:$C$113,0)-1,0)</f>
        <v>93.47</v>
      </c>
      <c r="I25" s="31">
        <f ca="1">95.58*OFFSET(I$112,MATCH($N$1,$C$112:$C$113,0)-1,0)</f>
        <v>95.58</v>
      </c>
      <c r="J25" s="31">
        <f ca="1">81.21*OFFSET(J$112,MATCH($N$1,$C$112:$C$113,0)-1,0)</f>
        <v>81.209999999999994</v>
      </c>
      <c r="K25" s="31">
        <f ca="1">109.25*OFFSET(K$112,MATCH($N$1,$C$112:$C$113,0)-1,0)</f>
        <v>109.25</v>
      </c>
      <c r="L25" s="31">
        <f ca="1">96.32*OFFSET(L$112,MATCH($N$1,$C$112:$C$113,0)-1,0)</f>
        <v>96.32</v>
      </c>
      <c r="M25" s="31">
        <f ca="1">500.55*OFFSET(M$112,MATCH($N$1,$C$112:$C$113,0)-1,0)</f>
        <v>500.55</v>
      </c>
      <c r="N25" s="31">
        <v>272.83999999999997</v>
      </c>
      <c r="O25" s="28">
        <f t="shared" ca="1" si="0"/>
        <v>2.6608077284315037</v>
      </c>
      <c r="P25" s="28">
        <f t="shared" ca="1" si="1"/>
        <v>2.3596847678857285</v>
      </c>
    </row>
    <row r="26" spans="1:16" ht="18" customHeight="1">
      <c r="A26" s="177"/>
      <c r="B26" s="35" t="s">
        <v>201</v>
      </c>
      <c r="C26" s="31"/>
      <c r="D26" s="31">
        <f ca="1">6.11*OFFSET(D$112,MATCH($N$1,$C$112:$C$113,0)-1,0)</f>
        <v>6.11</v>
      </c>
      <c r="E26" s="31">
        <f ca="1">9.95*OFFSET(E$112,MATCH($N$1,$C$112:$C$113,0)-1,0)</f>
        <v>9.9499999999999993</v>
      </c>
      <c r="F26" s="31">
        <f ca="1">7.78*OFFSET(F$112,MATCH($N$1,$C$112:$C$113,0)-1,0)</f>
        <v>7.78</v>
      </c>
      <c r="G26" s="31">
        <f ca="1">7.75*OFFSET(G$112,MATCH($N$1,$C$112:$C$113,0)-1,0)</f>
        <v>7.75</v>
      </c>
      <c r="H26" s="31">
        <f ca="1">7.88*OFFSET(H$112,MATCH($N$1,$C$112:$C$113,0)-1,0)</f>
        <v>7.88</v>
      </c>
      <c r="I26" s="31">
        <f ca="1">10.1*OFFSET(I$112,MATCH($N$1,$C$112:$C$113,0)-1,0)</f>
        <v>10.1</v>
      </c>
      <c r="J26" s="31">
        <f ca="1">11.54*OFFSET(J$112,MATCH($N$1,$C$112:$C$113,0)-1,0)</f>
        <v>11.54</v>
      </c>
      <c r="K26" s="31">
        <f ca="1">14.06*OFFSET(K$112,MATCH($N$1,$C$112:$C$113,0)-1,0)</f>
        <v>14.06</v>
      </c>
      <c r="L26" s="31">
        <f ca="1">0.79*OFFSET(L$112,MATCH($N$1,$C$112:$C$113,0)-1,0)</f>
        <v>0.79</v>
      </c>
      <c r="M26" s="31">
        <f ca="1">63.54*OFFSET(M$112,MATCH($N$1,$C$112:$C$113,0)-1,0)</f>
        <v>63.54</v>
      </c>
      <c r="N26" s="31">
        <v>2.6</v>
      </c>
      <c r="O26" s="32">
        <f t="shared" ca="1" si="0"/>
        <v>-0.57446808510638303</v>
      </c>
      <c r="P26" s="32">
        <f t="shared" ca="1" si="1"/>
        <v>-0.77469670710571925</v>
      </c>
    </row>
    <row r="27" spans="1:16" ht="18" customHeight="1">
      <c r="A27" s="166" t="s">
        <v>202</v>
      </c>
      <c r="B27" s="33" t="s">
        <v>193</v>
      </c>
      <c r="C27" s="34"/>
      <c r="D27" s="34">
        <f ca="1">554.2*OFFSET(D$112,MATCH($N$1,$C$112:$C$113,0)-1,0)</f>
        <v>554.20000000000005</v>
      </c>
      <c r="E27" s="34">
        <f ca="1">703.3*OFFSET(E$112,MATCH($N$1,$C$112:$C$113,0)-1,0)</f>
        <v>703.3</v>
      </c>
      <c r="F27" s="34">
        <f ca="1">593.2*OFFSET(F$112,MATCH($N$1,$C$112:$C$113,0)-1,0)</f>
        <v>593.20000000000005</v>
      </c>
      <c r="G27" s="34">
        <f ca="1">480.9*OFFSET(G$112,MATCH($N$1,$C$112:$C$113,0)-1,0)</f>
        <v>480.9</v>
      </c>
      <c r="H27" s="34">
        <f ca="1">635.4*OFFSET(H$112,MATCH($N$1,$C$112:$C$113,0)-1,0)</f>
        <v>635.4</v>
      </c>
      <c r="I27" s="34">
        <f ca="1">442.7*OFFSET(I$112,MATCH($N$1,$C$112:$C$113,0)-1,0)</f>
        <v>442.7</v>
      </c>
      <c r="J27" s="34">
        <f ca="1">654.7*OFFSET(J$112,MATCH($N$1,$C$112:$C$113,0)-1,0)</f>
        <v>654.70000000000005</v>
      </c>
      <c r="K27" s="34">
        <f ca="1">788.8*OFFSET(K$112,MATCH($N$1,$C$112:$C$113,0)-1,0)</f>
        <v>788.8</v>
      </c>
      <c r="L27" s="34">
        <f ca="1">662*OFFSET(L$112,MATCH($N$1,$C$112:$C$113,0)-1,0)</f>
        <v>662</v>
      </c>
      <c r="M27" s="34">
        <f ca="1">792.5*OFFSET(M$112,MATCH($N$1,$C$112:$C$113,0)-1,0)</f>
        <v>792.5</v>
      </c>
      <c r="N27" s="34">
        <v>441.1</v>
      </c>
      <c r="O27" s="28">
        <f t="shared" ca="1" si="0"/>
        <v>-0.20407795019848432</v>
      </c>
      <c r="P27" s="28">
        <f t="shared" ca="1" si="1"/>
        <v>-0.32625630059569272</v>
      </c>
    </row>
    <row r="28" spans="1:16" ht="18" customHeight="1">
      <c r="A28" s="178"/>
      <c r="B28" s="35" t="s">
        <v>203</v>
      </c>
      <c r="C28" s="31"/>
      <c r="D28" s="31">
        <f ca="1">10.4*OFFSET(D$112,MATCH($N$1,$C$112:$C$113,0)-1,0)</f>
        <v>10.4</v>
      </c>
      <c r="E28" s="31">
        <f ca="1">22.8*OFFSET(E$112,MATCH($N$1,$C$112:$C$113,0)-1,0)</f>
        <v>22.8</v>
      </c>
      <c r="F28" s="31">
        <f ca="1">28.1*OFFSET(F$112,MATCH($N$1,$C$112:$C$113,0)-1,0)</f>
        <v>28.1</v>
      </c>
      <c r="G28" s="31">
        <f ca="1">23.4*OFFSET(G$112,MATCH($N$1,$C$112:$C$113,0)-1,0)</f>
        <v>23.4</v>
      </c>
      <c r="H28" s="31">
        <f ca="1">39.5*OFFSET(H$112,MATCH($N$1,$C$112:$C$113,0)-1,0)</f>
        <v>39.5</v>
      </c>
      <c r="I28" s="31">
        <f ca="1">27.1*OFFSET(I$112,MATCH($N$1,$C$112:$C$113,0)-1,0)</f>
        <v>27.1</v>
      </c>
      <c r="J28" s="31">
        <f ca="1">42.4*OFFSET(J$112,MATCH($N$1,$C$112:$C$113,0)-1,0)</f>
        <v>42.4</v>
      </c>
      <c r="K28" s="31">
        <f ca="1">26.8*OFFSET(K$112,MATCH($N$1,$C$112:$C$113,0)-1,0)</f>
        <v>26.8</v>
      </c>
      <c r="L28" s="31">
        <f ca="1">24.6*OFFSET(L$112,MATCH($N$1,$C$112:$C$113,0)-1,0)</f>
        <v>24.6</v>
      </c>
      <c r="M28" s="31">
        <f ca="1">37.7*OFFSET(M$112,MATCH($N$1,$C$112:$C$113,0)-1,0)</f>
        <v>37.700000000000003</v>
      </c>
      <c r="N28" s="31">
        <v>37.300000000000004</v>
      </c>
      <c r="O28" s="28">
        <f t="shared" ca="1" si="0"/>
        <v>2.5865384615384621</v>
      </c>
      <c r="P28" s="28">
        <f t="shared" ca="1" si="1"/>
        <v>-0.1202830188679244</v>
      </c>
    </row>
    <row r="29" spans="1:16" ht="18" customHeight="1">
      <c r="A29" s="178"/>
      <c r="B29" s="40" t="s">
        <v>204</v>
      </c>
      <c r="C29" s="41"/>
      <c r="D29" s="41">
        <f ca="1">564.6*OFFSET(D$112,MATCH($N$1,$C$112:$C$113,0)-1,0)</f>
        <v>564.6</v>
      </c>
      <c r="E29" s="41">
        <f ca="1">726.1*OFFSET(E$112,MATCH($N$1,$C$112:$C$113,0)-1,0)</f>
        <v>726.1</v>
      </c>
      <c r="F29" s="41">
        <f ca="1">621.3*OFFSET(F$112,MATCH($N$1,$C$112:$C$113,0)-1,0)</f>
        <v>621.29999999999995</v>
      </c>
      <c r="G29" s="41">
        <f ca="1">504.3*OFFSET(G$112,MATCH($N$1,$C$112:$C$113,0)-1,0)</f>
        <v>504.3</v>
      </c>
      <c r="H29" s="41">
        <f ca="1">674.9*OFFSET(H$112,MATCH($N$1,$C$112:$C$113,0)-1,0)</f>
        <v>674.9</v>
      </c>
      <c r="I29" s="41">
        <f ca="1">469.9*OFFSET(I$112,MATCH($N$1,$C$112:$C$113,0)-1,0)</f>
        <v>469.9</v>
      </c>
      <c r="J29" s="41">
        <f ca="1">697.1*OFFSET(J$112,MATCH($N$1,$C$112:$C$113,0)-1,0)</f>
        <v>697.1</v>
      </c>
      <c r="K29" s="41">
        <f ca="1">815.6*OFFSET(K$112,MATCH($N$1,$C$112:$C$113,0)-1,0)</f>
        <v>815.6</v>
      </c>
      <c r="L29" s="41">
        <f ca="1">686.7*OFFSET(L$112,MATCH($N$1,$C$112:$C$113,0)-1,0)</f>
        <v>686.7</v>
      </c>
      <c r="M29" s="41">
        <f ca="1">830.3*OFFSET(M$112,MATCH($N$1,$C$112:$C$113,0)-1,0)</f>
        <v>830.3</v>
      </c>
      <c r="N29" s="41">
        <v>478.40000000000003</v>
      </c>
      <c r="O29" s="28">
        <f t="shared" ca="1" si="0"/>
        <v>-0.15267445979454478</v>
      </c>
      <c r="P29" s="28">
        <f t="shared" ca="1" si="1"/>
        <v>-0.31372830296944482</v>
      </c>
    </row>
    <row r="30" spans="1:16" ht="18" customHeight="1">
      <c r="A30" s="178"/>
      <c r="B30" s="35" t="s">
        <v>205</v>
      </c>
      <c r="C30" s="31"/>
      <c r="D30" s="31">
        <f ca="1">149.5*OFFSET(D$112,MATCH($N$1,$C$112:$C$113,0)-1,0)</f>
        <v>149.5</v>
      </c>
      <c r="E30" s="31">
        <f ca="1">196.6*OFFSET(E$112,MATCH($N$1,$C$112:$C$113,0)-1,0)</f>
        <v>196.6</v>
      </c>
      <c r="F30" s="31">
        <f ca="1">189.5*OFFSET(F$112,MATCH($N$1,$C$112:$C$113,0)-1,0)</f>
        <v>189.5</v>
      </c>
      <c r="G30" s="31">
        <f ca="1">172.1*OFFSET(G$112,MATCH($N$1,$C$112:$C$113,0)-1,0)</f>
        <v>172.1</v>
      </c>
      <c r="H30" s="31">
        <f ca="1">176.2*OFFSET(H$112,MATCH($N$1,$C$112:$C$113,0)-1,0)</f>
        <v>176.2</v>
      </c>
      <c r="I30" s="31">
        <f ca="1">108*OFFSET(I$112,MATCH($N$1,$C$112:$C$113,0)-1,0)</f>
        <v>108</v>
      </c>
      <c r="J30" s="31">
        <f ca="1">125.1*OFFSET(J$112,MATCH($N$1,$C$112:$C$113,0)-1,0)</f>
        <v>125.1</v>
      </c>
      <c r="K30" s="31">
        <f ca="1">156.5*OFFSET(K$112,MATCH($N$1,$C$112:$C$113,0)-1,0)</f>
        <v>156.5</v>
      </c>
      <c r="L30" s="31">
        <f ca="1">179.2*OFFSET(L$112,MATCH($N$1,$C$112:$C$113,0)-1,0)</f>
        <v>179.2</v>
      </c>
      <c r="M30" s="31">
        <f ca="1">181.9*OFFSET(M$112,MATCH($N$1,$C$112:$C$113,0)-1,0)</f>
        <v>181.9</v>
      </c>
      <c r="N30" s="31">
        <v>109.60000000000001</v>
      </c>
      <c r="O30" s="28">
        <f t="shared" ca="1" si="0"/>
        <v>-0.26688963210702338</v>
      </c>
      <c r="P30" s="28">
        <f t="shared" ca="1" si="1"/>
        <v>-0.12390087929656264</v>
      </c>
    </row>
    <row r="31" spans="1:16" ht="18" customHeight="1">
      <c r="A31" s="178"/>
      <c r="B31" s="35" t="s">
        <v>206</v>
      </c>
      <c r="C31" s="31"/>
      <c r="D31" s="31">
        <f ca="1">134.9*OFFSET(D$112,MATCH($N$1,$C$112:$C$113,0)-1,0)</f>
        <v>134.9</v>
      </c>
      <c r="E31" s="31">
        <f ca="1">175.7*OFFSET(E$112,MATCH($N$1,$C$112:$C$113,0)-1,0)</f>
        <v>175.7</v>
      </c>
      <c r="F31" s="31">
        <f ca="1">138.7*OFFSET(F$112,MATCH($N$1,$C$112:$C$113,0)-1,0)</f>
        <v>138.69999999999999</v>
      </c>
      <c r="G31" s="31">
        <f ca="1">101.8*OFFSET(G$112,MATCH($N$1,$C$112:$C$113,0)-1,0)</f>
        <v>101.8</v>
      </c>
      <c r="H31" s="31">
        <f ca="1">138.1*OFFSET(H$112,MATCH($N$1,$C$112:$C$113,0)-1,0)</f>
        <v>138.1</v>
      </c>
      <c r="I31" s="31">
        <f ca="1">113.8*OFFSET(I$112,MATCH($N$1,$C$112:$C$113,0)-1,0)</f>
        <v>113.8</v>
      </c>
      <c r="J31" s="31">
        <f ca="1">161.4*OFFSET(J$112,MATCH($N$1,$C$112:$C$113,0)-1,0)</f>
        <v>161.4</v>
      </c>
      <c r="K31" s="31">
        <f ca="1">192.2*OFFSET(K$112,MATCH($N$1,$C$112:$C$113,0)-1,0)</f>
        <v>192.2</v>
      </c>
      <c r="L31" s="31">
        <f ca="1">170*OFFSET(L$112,MATCH($N$1,$C$112:$C$113,0)-1,0)</f>
        <v>170</v>
      </c>
      <c r="M31" s="31">
        <f ca="1">228.6*OFFSET(M$112,MATCH($N$1,$C$112:$C$113,0)-1,0)</f>
        <v>228.6</v>
      </c>
      <c r="N31" s="31">
        <v>122.9</v>
      </c>
      <c r="O31" s="28">
        <f t="shared" ca="1" si="0"/>
        <v>-8.8954781319495912E-2</v>
      </c>
      <c r="P31" s="28">
        <f t="shared" ca="1" si="1"/>
        <v>-0.23853779429987607</v>
      </c>
    </row>
    <row r="32" spans="1:16" ht="18" customHeight="1">
      <c r="A32" s="178"/>
      <c r="B32" s="35" t="s">
        <v>207</v>
      </c>
      <c r="C32" s="31"/>
      <c r="D32" s="31">
        <f ca="1">100.6*OFFSET(D$112,MATCH($N$1,$C$112:$C$113,0)-1,0)</f>
        <v>100.6</v>
      </c>
      <c r="E32" s="31">
        <f ca="1">130.8*OFFSET(E$112,MATCH($N$1,$C$112:$C$113,0)-1,0)</f>
        <v>130.80000000000001</v>
      </c>
      <c r="F32" s="31">
        <f ca="1">116.5*OFFSET(F$112,MATCH($N$1,$C$112:$C$113,0)-1,0)</f>
        <v>116.5</v>
      </c>
      <c r="G32" s="31">
        <f ca="1">87.1*OFFSET(G$112,MATCH($N$1,$C$112:$C$113,0)-1,0)</f>
        <v>87.1</v>
      </c>
      <c r="H32" s="31">
        <f ca="1">132.5*OFFSET(H$112,MATCH($N$1,$C$112:$C$113,0)-1,0)</f>
        <v>132.5</v>
      </c>
      <c r="I32" s="31">
        <f ca="1">96.9*OFFSET(I$112,MATCH($N$1,$C$112:$C$113,0)-1,0)</f>
        <v>96.9</v>
      </c>
      <c r="J32" s="31">
        <f ca="1">157*OFFSET(J$112,MATCH($N$1,$C$112:$C$113,0)-1,0)</f>
        <v>157</v>
      </c>
      <c r="K32" s="31">
        <f ca="1">191.2*OFFSET(K$112,MATCH($N$1,$C$112:$C$113,0)-1,0)</f>
        <v>191.2</v>
      </c>
      <c r="L32" s="31">
        <f ca="1">157.5*OFFSET(L$112,MATCH($N$1,$C$112:$C$113,0)-1,0)</f>
        <v>157.5</v>
      </c>
      <c r="M32" s="31">
        <f ca="1">174.7*OFFSET(M$112,MATCH($N$1,$C$112:$C$113,0)-1,0)</f>
        <v>174.7</v>
      </c>
      <c r="N32" s="31">
        <v>97.2</v>
      </c>
      <c r="O32" s="28">
        <f t="shared" ca="1" si="0"/>
        <v>-3.3797216699801111E-2</v>
      </c>
      <c r="P32" s="28">
        <f t="shared" ca="1" si="1"/>
        <v>-0.3808917197452229</v>
      </c>
    </row>
    <row r="33" spans="1:16" ht="18" customHeight="1">
      <c r="A33" s="178"/>
      <c r="B33" s="35" t="s">
        <v>208</v>
      </c>
      <c r="C33" s="31"/>
      <c r="D33" s="31">
        <f ca="1">385.1*OFFSET(D$112,MATCH($N$1,$C$112:$C$113,0)-1,0)</f>
        <v>385.1</v>
      </c>
      <c r="E33" s="31">
        <f ca="1">503.1*OFFSET(E$112,MATCH($N$1,$C$112:$C$113,0)-1,0)</f>
        <v>503.1</v>
      </c>
      <c r="F33" s="31">
        <f ca="1">444.6*OFFSET(F$112,MATCH($N$1,$C$112:$C$113,0)-1,0)</f>
        <v>444.6</v>
      </c>
      <c r="G33" s="31">
        <f ca="1">361*OFFSET(G$112,MATCH($N$1,$C$112:$C$113,0)-1,0)</f>
        <v>361</v>
      </c>
      <c r="H33" s="31">
        <f ca="1">446.7*OFFSET(H$112,MATCH($N$1,$C$112:$C$113,0)-1,0)</f>
        <v>446.7</v>
      </c>
      <c r="I33" s="31">
        <f ca="1">318.6*OFFSET(I$112,MATCH($N$1,$C$112:$C$113,0)-1,0)</f>
        <v>318.60000000000002</v>
      </c>
      <c r="J33" s="31">
        <f ca="1">443.4*OFFSET(J$112,MATCH($N$1,$C$112:$C$113,0)-1,0)</f>
        <v>443.4</v>
      </c>
      <c r="K33" s="31">
        <f ca="1">539.8*OFFSET(K$112,MATCH($N$1,$C$112:$C$113,0)-1,0)</f>
        <v>539.79999999999995</v>
      </c>
      <c r="L33" s="31">
        <f ca="1">506.7*OFFSET(L$112,MATCH($N$1,$C$112:$C$113,0)-1,0)</f>
        <v>506.7</v>
      </c>
      <c r="M33" s="31">
        <f ca="1">585.2*OFFSET(M$112,MATCH($N$1,$C$112:$C$113,0)-1,0)</f>
        <v>585.20000000000005</v>
      </c>
      <c r="N33" s="31">
        <v>329.7</v>
      </c>
      <c r="O33" s="28">
        <f t="shared" ca="1" si="0"/>
        <v>-0.14385873799013252</v>
      </c>
      <c r="P33" s="28">
        <f t="shared" ca="1" si="1"/>
        <v>-0.25642760487144789</v>
      </c>
    </row>
    <row r="34" spans="1:16" ht="18" customHeight="1">
      <c r="A34" s="178"/>
      <c r="B34" s="35" t="s">
        <v>209</v>
      </c>
      <c r="C34" s="31"/>
      <c r="D34" s="31">
        <f ca="1">134.1*OFFSET(D$112,MATCH($N$1,$C$112:$C$113,0)-1,0)</f>
        <v>134.1</v>
      </c>
      <c r="E34" s="31">
        <f ca="1">142.6*OFFSET(E$112,MATCH($N$1,$C$112:$C$113,0)-1,0)</f>
        <v>142.6</v>
      </c>
      <c r="F34" s="31">
        <f ca="1">113.2*OFFSET(F$112,MATCH($N$1,$C$112:$C$113,0)-1,0)</f>
        <v>113.2</v>
      </c>
      <c r="G34" s="31">
        <f ca="1">99.3*OFFSET(G$112,MATCH($N$1,$C$112:$C$113,0)-1,0)</f>
        <v>99.3</v>
      </c>
      <c r="H34" s="31">
        <f ca="1">174.6*OFFSET(H$112,MATCH($N$1,$C$112:$C$113,0)-1,0)</f>
        <v>174.6</v>
      </c>
      <c r="I34" s="31">
        <f ca="1">104.4*OFFSET(I$112,MATCH($N$1,$C$112:$C$113,0)-1,0)</f>
        <v>104.4</v>
      </c>
      <c r="J34" s="31">
        <f ca="1">160.6*OFFSET(J$112,MATCH($N$1,$C$112:$C$113,0)-1,0)</f>
        <v>160.6</v>
      </c>
      <c r="K34" s="31">
        <f ca="1">174.3*OFFSET(K$112,MATCH($N$1,$C$112:$C$113,0)-1,0)</f>
        <v>174.3</v>
      </c>
      <c r="L34" s="31">
        <f ca="1">174.6*OFFSET(L$112,MATCH($N$1,$C$112:$C$113,0)-1,0)</f>
        <v>174.6</v>
      </c>
      <c r="M34" s="31">
        <f ca="1">144.5*OFFSET(M$112,MATCH($N$1,$C$112:$C$113,0)-1,0)</f>
        <v>144.5</v>
      </c>
      <c r="N34" s="31">
        <v>144.5</v>
      </c>
      <c r="O34" s="28">
        <f t="shared" ca="1" si="0"/>
        <v>7.7554064131245382E-2</v>
      </c>
      <c r="P34" s="28">
        <f t="shared" ca="1" si="1"/>
        <v>-0.10024906600249063</v>
      </c>
    </row>
    <row r="35" spans="1:16" ht="18" customHeight="1">
      <c r="A35" s="178"/>
      <c r="B35" s="35" t="s">
        <v>210</v>
      </c>
      <c r="C35" s="31"/>
      <c r="D35" s="31">
        <f ca="1">519.2*OFFSET(D$112,MATCH($N$1,$C$112:$C$113,0)-1,0)</f>
        <v>519.20000000000005</v>
      </c>
      <c r="E35" s="31">
        <f ca="1">645.6*OFFSET(E$112,MATCH($N$1,$C$112:$C$113,0)-1,0)</f>
        <v>645.6</v>
      </c>
      <c r="F35" s="31">
        <f ca="1">557.9*OFFSET(F$112,MATCH($N$1,$C$112:$C$113,0)-1,0)</f>
        <v>557.9</v>
      </c>
      <c r="G35" s="31">
        <f ca="1">460.3*OFFSET(G$112,MATCH($N$1,$C$112:$C$113,0)-1,0)</f>
        <v>460.3</v>
      </c>
      <c r="H35" s="31">
        <f ca="1">621.3*OFFSET(H$112,MATCH($N$1,$C$112:$C$113,0)-1,0)</f>
        <v>621.29999999999995</v>
      </c>
      <c r="I35" s="31">
        <f ca="1">423*OFFSET(I$112,MATCH($N$1,$C$112:$C$113,0)-1,0)</f>
        <v>423</v>
      </c>
      <c r="J35" s="31">
        <f ca="1">604*OFFSET(J$112,MATCH($N$1,$C$112:$C$113,0)-1,0)</f>
        <v>604</v>
      </c>
      <c r="K35" s="31">
        <f ca="1">714.1*OFFSET(K$112,MATCH($N$1,$C$112:$C$113,0)-1,0)</f>
        <v>714.1</v>
      </c>
      <c r="L35" s="31">
        <f ca="1">681.3*OFFSET(L$112,MATCH($N$1,$C$112:$C$113,0)-1,0)</f>
        <v>681.3</v>
      </c>
      <c r="M35" s="31">
        <f ca="1">729.7*OFFSET(M$112,MATCH($N$1,$C$112:$C$113,0)-1,0)</f>
        <v>729.7</v>
      </c>
      <c r="N35" s="31">
        <v>474.2</v>
      </c>
      <c r="O35" s="28">
        <f t="shared" ca="1" si="0"/>
        <v>-8.6671802773497786E-2</v>
      </c>
      <c r="P35" s="28">
        <f t="shared" ca="1" si="1"/>
        <v>-0.21490066225165566</v>
      </c>
    </row>
    <row r="36" spans="1:16" ht="18" customHeight="1">
      <c r="A36" s="178"/>
      <c r="B36" s="40" t="s">
        <v>211</v>
      </c>
      <c r="C36" s="41"/>
      <c r="D36" s="41">
        <f ca="1">180.3*OFFSET(D$112,MATCH($N$1,$C$112:$C$113,0)-1,0)</f>
        <v>180.3</v>
      </c>
      <c r="E36" s="41">
        <f ca="1">256.1*OFFSET(E$112,MATCH($N$1,$C$112:$C$113,0)-1,0)</f>
        <v>256.10000000000002</v>
      </c>
      <c r="F36" s="41">
        <f ca="1">202.1*OFFSET(F$112,MATCH($N$1,$C$112:$C$113,0)-1,0)</f>
        <v>202.1</v>
      </c>
      <c r="G36" s="41">
        <f ca="1">145.8*OFFSET(G$112,MATCH($N$1,$C$112:$C$113,0)-1,0)</f>
        <v>145.80000000000001</v>
      </c>
      <c r="H36" s="41">
        <f ca="1">191.7*OFFSET(H$112,MATCH($N$1,$C$112:$C$113,0)-1,0)</f>
        <v>191.7</v>
      </c>
      <c r="I36" s="41">
        <f ca="1">160.6*OFFSET(I$112,MATCH($N$1,$C$112:$C$113,0)-1,0)</f>
        <v>160.6</v>
      </c>
      <c r="J36" s="41">
        <f ca="1">254.4*OFFSET(J$112,MATCH($N$1,$C$112:$C$113,0)-1,0)</f>
        <v>254.4</v>
      </c>
      <c r="K36" s="41">
        <f ca="1">293.7*OFFSET(K$112,MATCH($N$1,$C$112:$C$113,0)-1,0)</f>
        <v>293.7</v>
      </c>
      <c r="L36" s="41">
        <f ca="1">175.4*OFFSET(L$112,MATCH($N$1,$C$112:$C$113,0)-1,0)</f>
        <v>175.4</v>
      </c>
      <c r="M36" s="41">
        <f ca="1">329.2*OFFSET(M$112,MATCH($N$1,$C$112:$C$113,0)-1,0)</f>
        <v>329.2</v>
      </c>
      <c r="N36" s="41">
        <v>127.10000000000001</v>
      </c>
      <c r="O36" s="28">
        <f t="shared" ca="1" si="0"/>
        <v>-0.29506378258458127</v>
      </c>
      <c r="P36" s="28">
        <f t="shared" ca="1" si="1"/>
        <v>-0.50039308176100628</v>
      </c>
    </row>
    <row r="37" spans="1:16" ht="18" customHeight="1">
      <c r="A37" s="178"/>
      <c r="B37" s="40" t="s">
        <v>212</v>
      </c>
      <c r="C37" s="41"/>
      <c r="D37" s="41">
        <f ca="1">45.4*OFFSET(D$112,MATCH($N$1,$C$112:$C$113,0)-1,0)</f>
        <v>45.4</v>
      </c>
      <c r="E37" s="41">
        <f ca="1">80.4*OFFSET(E$112,MATCH($N$1,$C$112:$C$113,0)-1,0)</f>
        <v>80.400000000000006</v>
      </c>
      <c r="F37" s="41">
        <f ca="1">63.4*OFFSET(F$112,MATCH($N$1,$C$112:$C$113,0)-1,0)</f>
        <v>63.4</v>
      </c>
      <c r="G37" s="41">
        <f ca="1">44*OFFSET(G$112,MATCH($N$1,$C$112:$C$113,0)-1,0)</f>
        <v>44</v>
      </c>
      <c r="H37" s="41">
        <f ca="1">53.6*OFFSET(H$112,MATCH($N$1,$C$112:$C$113,0)-1,0)</f>
        <v>53.6</v>
      </c>
      <c r="I37" s="41">
        <f ca="1">46.8*OFFSET(I$112,MATCH($N$1,$C$112:$C$113,0)-1,0)</f>
        <v>46.8</v>
      </c>
      <c r="J37" s="41">
        <f ca="1">93*OFFSET(J$112,MATCH($N$1,$C$112:$C$113,0)-1,0)</f>
        <v>93</v>
      </c>
      <c r="K37" s="41">
        <f ca="1">101.5*OFFSET(K$112,MATCH($N$1,$C$112:$C$113,0)-1,0)</f>
        <v>101.5</v>
      </c>
      <c r="L37" s="41">
        <f ca="1">5.4*OFFSET(L$112,MATCH($N$1,$C$112:$C$113,0)-1,0)</f>
        <v>5.4</v>
      </c>
      <c r="M37" s="41">
        <f ca="1">100.6*OFFSET(M$112,MATCH($N$1,$C$112:$C$113,0)-1,0)</f>
        <v>100.6</v>
      </c>
      <c r="N37" s="41">
        <v>4.2</v>
      </c>
      <c r="O37" s="28">
        <f t="shared" ca="1" si="0"/>
        <v>-0.90748898678414092</v>
      </c>
      <c r="P37" s="28">
        <f t="shared" ca="1" si="1"/>
        <v>-0.95483870967741935</v>
      </c>
    </row>
    <row r="38" spans="1:16" ht="18" customHeight="1">
      <c r="A38" s="178"/>
      <c r="B38" s="35" t="s">
        <v>213</v>
      </c>
      <c r="C38" s="31"/>
      <c r="D38" s="31">
        <f ca="1">52.9*OFFSET(D$112,MATCH($N$1,$C$112:$C$113,0)-1,0)</f>
        <v>52.9</v>
      </c>
      <c r="E38" s="31">
        <f ca="1">49.2*OFFSET(E$112,MATCH($N$1,$C$112:$C$113,0)-1,0)</f>
        <v>49.2</v>
      </c>
      <c r="F38" s="31">
        <f ca="1">38.1*OFFSET(F$112,MATCH($N$1,$C$112:$C$113,0)-1,0)</f>
        <v>38.1</v>
      </c>
      <c r="G38" s="31">
        <f ca="1">38.4*OFFSET(G$112,MATCH($N$1,$C$112:$C$113,0)-1,0)</f>
        <v>38.4</v>
      </c>
      <c r="H38" s="31">
        <f ca="1">35.7*OFFSET(H$112,MATCH($N$1,$C$112:$C$113,0)-1,0)</f>
        <v>35.700000000000003</v>
      </c>
      <c r="I38" s="31">
        <f ca="1">36.8*OFFSET(I$112,MATCH($N$1,$C$112:$C$113,0)-1,0)</f>
        <v>36.799999999999997</v>
      </c>
      <c r="J38" s="31">
        <f ca="1">41.1*OFFSET(J$112,MATCH($N$1,$C$112:$C$113,0)-1,0)</f>
        <v>41.1</v>
      </c>
      <c r="K38" s="31">
        <f ca="1">50.9*OFFSET(K$112,MATCH($N$1,$C$112:$C$113,0)-1,0)</f>
        <v>50.9</v>
      </c>
      <c r="L38" s="31">
        <f ca="1">43.6*OFFSET(L$112,MATCH($N$1,$C$112:$C$113,0)-1,0)</f>
        <v>43.6</v>
      </c>
      <c r="M38" s="31">
        <f ca="1">49.6*OFFSET(M$112,MATCH($N$1,$C$112:$C$113,0)-1,0)</f>
        <v>49.6</v>
      </c>
      <c r="N38" s="31"/>
      <c r="O38" s="28" t="str">
        <f t="shared" si="0"/>
        <v/>
      </c>
      <c r="P38" s="28" t="str">
        <f t="shared" si="1"/>
        <v/>
      </c>
    </row>
    <row r="39" spans="1:16" ht="18" customHeight="1">
      <c r="A39" s="178"/>
      <c r="B39" s="35" t="s">
        <v>214</v>
      </c>
      <c r="C39" s="31"/>
      <c r="D39" s="31">
        <f ca="1">15.7*OFFSET(D$112,MATCH($N$1,$C$112:$C$113,0)-1,0)</f>
        <v>15.7</v>
      </c>
      <c r="E39" s="31">
        <f ca="1">16.1*OFFSET(E$112,MATCH($N$1,$C$112:$C$113,0)-1,0)</f>
        <v>16.100000000000001</v>
      </c>
      <c r="F39" s="31">
        <f ca="1">11.8*OFFSET(F$112,MATCH($N$1,$C$112:$C$113,0)-1,0)</f>
        <v>11.8</v>
      </c>
      <c r="G39" s="31">
        <f ca="1">7.7*OFFSET(G$112,MATCH($N$1,$C$112:$C$113,0)-1,0)</f>
        <v>7.7</v>
      </c>
      <c r="H39" s="31">
        <f ca="1">6.4*OFFSET(H$112,MATCH($N$1,$C$112:$C$113,0)-1,0)</f>
        <v>6.4</v>
      </c>
      <c r="I39" s="31">
        <f ca="1">4.8*OFFSET(I$112,MATCH($N$1,$C$112:$C$113,0)-1,0)</f>
        <v>4.8</v>
      </c>
      <c r="J39" s="31">
        <f ca="1">5.1*OFFSET(J$112,MATCH($N$1,$C$112:$C$113,0)-1,0)</f>
        <v>5.0999999999999996</v>
      </c>
      <c r="K39" s="31">
        <f ca="1">4.4*OFFSET(K$112,MATCH($N$1,$C$112:$C$113,0)-1,0)</f>
        <v>4.4000000000000004</v>
      </c>
      <c r="L39" s="31">
        <f ca="1">3.7*OFFSET(L$112,MATCH($N$1,$C$112:$C$113,0)-1,0)</f>
        <v>3.7</v>
      </c>
      <c r="M39" s="31">
        <f ca="1">5.5*OFFSET(M$112,MATCH($N$1,$C$112:$C$113,0)-1,0)</f>
        <v>5.5</v>
      </c>
      <c r="N39" s="31"/>
      <c r="O39" s="28" t="str">
        <f t="shared" si="0"/>
        <v/>
      </c>
      <c r="P39" s="28" t="str">
        <f t="shared" si="1"/>
        <v/>
      </c>
    </row>
    <row r="40" spans="1:16" ht="18" customHeight="1">
      <c r="A40" s="178"/>
      <c r="B40" s="35" t="s">
        <v>215</v>
      </c>
      <c r="C40" s="31"/>
      <c r="D40" s="31">
        <f ca="1">0.2*OFFSET(D$112,MATCH($N$1,$C$112:$C$113,0)-1,0)</f>
        <v>0.2</v>
      </c>
      <c r="E40" s="31">
        <f ca="1">1.1*OFFSET(E$112,MATCH($N$1,$C$112:$C$113,0)-1,0)</f>
        <v>1.1000000000000001</v>
      </c>
      <c r="F40" s="31">
        <f ca="1">0.6*OFFSET(F$112,MATCH($N$1,$C$112:$C$113,0)-1,0)</f>
        <v>0.6</v>
      </c>
      <c r="G40" s="31">
        <f ca="1">5.4*OFFSET(G$112,MATCH($N$1,$C$112:$C$113,0)-1,0)</f>
        <v>5.4</v>
      </c>
      <c r="H40" s="31">
        <f ca="1">2.6*OFFSET(H$112,MATCH($N$1,$C$112:$C$113,0)-1,0)</f>
        <v>2.6</v>
      </c>
      <c r="I40" s="31">
        <f ca="1">2.7*OFFSET(I$112,MATCH($N$1,$C$112:$C$113,0)-1,0)</f>
        <v>2.7</v>
      </c>
      <c r="J40" s="31">
        <f ca="1">2.9*OFFSET(J$112,MATCH($N$1,$C$112:$C$113,0)-1,0)</f>
        <v>2.9</v>
      </c>
      <c r="K40" s="31">
        <f ca="1">2.5*OFFSET(K$112,MATCH($N$1,$C$112:$C$113,0)-1,0)</f>
        <v>2.5</v>
      </c>
      <c r="L40" s="31">
        <f ca="1">2.1*OFFSET(L$112,MATCH($N$1,$C$112:$C$113,0)-1,0)</f>
        <v>2.1</v>
      </c>
      <c r="M40" s="31">
        <f ca="1">2.8*OFFSET(M$112,MATCH($N$1,$C$112:$C$113,0)-1,0)</f>
        <v>2.8</v>
      </c>
      <c r="N40" s="31"/>
      <c r="O40" s="28" t="str">
        <f t="shared" si="0"/>
        <v/>
      </c>
      <c r="P40" s="28" t="str">
        <f t="shared" si="1"/>
        <v/>
      </c>
    </row>
    <row r="41" spans="1:16" ht="18" customHeight="1" thickBot="1">
      <c r="A41" s="179"/>
      <c r="B41" s="42" t="s">
        <v>216</v>
      </c>
      <c r="C41" s="43"/>
      <c r="D41" s="43">
        <f ca="1">-23.5*OFFSET(D$112,MATCH($N$1,$C$112:$C$113,0)-1,0)</f>
        <v>-23.5</v>
      </c>
      <c r="E41" s="43">
        <f ca="1">13.9*OFFSET(E$112,MATCH($N$1,$C$112:$C$113,0)-1,0)</f>
        <v>13.9</v>
      </c>
      <c r="F41" s="43">
        <f ca="1">12.9*OFFSET(F$112,MATCH($N$1,$C$112:$C$113,0)-1,0)</f>
        <v>12.9</v>
      </c>
      <c r="G41" s="43">
        <f ca="1">-7.5*OFFSET(G$112,MATCH($N$1,$C$112:$C$113,0)-1,0)</f>
        <v>-7.5</v>
      </c>
      <c r="H41" s="43">
        <f ca="1">8.9*OFFSET(H$112,MATCH($N$1,$C$112:$C$113,0)-1,0)</f>
        <v>8.9</v>
      </c>
      <c r="I41" s="43">
        <f ca="1">2.5*OFFSET(I$112,MATCH($N$1,$C$112:$C$113,0)-1,0)</f>
        <v>2.5</v>
      </c>
      <c r="J41" s="43">
        <f ca="1">43.9*OFFSET(J$112,MATCH($N$1,$C$112:$C$113,0)-1,0)</f>
        <v>43.9</v>
      </c>
      <c r="K41" s="43">
        <f ca="1">43.7*OFFSET(K$112,MATCH($N$1,$C$112:$C$113,0)-1,0)</f>
        <v>43.7</v>
      </c>
      <c r="L41" s="43">
        <f ca="1">-44*OFFSET(L$112,MATCH($N$1,$C$112:$C$113,0)-1,0)</f>
        <v>-44</v>
      </c>
      <c r="M41" s="43">
        <f ca="1">42.7*OFFSET(M$112,MATCH($N$1,$C$112:$C$113,0)-1,0)</f>
        <v>42.7</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159</v>
      </c>
      <c r="F46" s="90" t="s">
        <v>163</v>
      </c>
      <c r="G46" s="90" t="s">
        <v>159</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North Sea nephrops over 300kW</v>
      </c>
      <c r="B48" s="202"/>
      <c r="C48" s="92"/>
      <c r="D48" s="92"/>
      <c r="E48" s="92"/>
      <c r="F48" s="92"/>
      <c r="G48" s="92"/>
      <c r="H48" s="202"/>
      <c r="I48" s="202"/>
      <c r="J48" s="202"/>
      <c r="K48" s="92" t="str">
        <f>$B24&amp;CHAR(10)&amp;$A$1</f>
        <v>Operating profit per kW day at sea (£)
North Sea nephrops over 300kW</v>
      </c>
      <c r="L48" s="202"/>
      <c r="M48" s="202"/>
      <c r="N48" s="202"/>
      <c r="O48" s="202"/>
      <c r="P48" s="202"/>
    </row>
    <row r="49" spans="1:11" s="80" customFormat="1">
      <c r="A49" s="92" t="str">
        <f>$B22&amp;CHAR(10)&amp;$A$1</f>
        <v>Fishing income per kW day at sea (£)
North Sea nephrops over 300kW</v>
      </c>
      <c r="B49" s="202"/>
      <c r="C49" s="202"/>
      <c r="D49" s="202"/>
      <c r="E49" s="202"/>
      <c r="F49" s="202"/>
      <c r="G49" s="202"/>
      <c r="H49" s="202"/>
      <c r="I49" s="202"/>
      <c r="J49" s="202"/>
      <c r="K49" s="202"/>
    </row>
    <row r="50" spans="1:11" s="80" customFormat="1">
      <c r="A50" s="92" t="str">
        <f>$B20&amp;CHAR(10)&amp;$A$1</f>
        <v>Average price per tonne landed (£)
North Sea nephrops over 300kW</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North Sea nephrops over 300kW</v>
      </c>
      <c r="C62" s="202"/>
      <c r="D62" s="202"/>
      <c r="E62" s="202"/>
      <c r="F62" s="92" t="str">
        <f>$B20&amp;CHAR(10)&amp;$A$1</f>
        <v>Average price per tonne landed (£)
North Sea nephrops over 300kW</v>
      </c>
      <c r="G62" s="202"/>
      <c r="H62" s="202"/>
      <c r="I62" s="202"/>
      <c r="J62" s="202"/>
      <c r="K62" s="92" t="str">
        <f>"Average annual operating profit per vessel (£'000)"&amp;CHAR(10)&amp;$A$1</f>
        <v>Average annual operating profit per vessel (£'000)
North Sea nephrops over 300kW</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North Sea nephrops over 300kW</v>
      </c>
      <c r="F76" s="92" t="str">
        <f>"Top 5 landed species by value in "&amp;A77&amp;CHAR(10)&amp;A1</f>
        <v>Top 5 landed species by value in 2019
North Sea nephrops over 300kW</v>
      </c>
    </row>
    <row r="77" spans="1:11" s="92" customFormat="1">
      <c r="A77" s="92">
        <v>2019</v>
      </c>
      <c r="B77" s="92" t="s">
        <v>417</v>
      </c>
      <c r="C77" s="93">
        <v>0.5688245138805017</v>
      </c>
      <c r="D77" s="94">
        <v>12153634</v>
      </c>
      <c r="G77" s="92" t="s">
        <v>418</v>
      </c>
      <c r="H77" s="93">
        <v>0.6991844314328246</v>
      </c>
      <c r="I77" s="94">
        <v>12153634</v>
      </c>
      <c r="K77" s="92" t="s">
        <v>230</v>
      </c>
    </row>
    <row r="78" spans="1:11" s="92" customFormat="1">
      <c r="B78" s="92" t="s">
        <v>419</v>
      </c>
      <c r="C78" s="93">
        <v>0.10619188836754838</v>
      </c>
      <c r="D78" s="94">
        <v>3050596</v>
      </c>
      <c r="G78" s="92" t="s">
        <v>420</v>
      </c>
      <c r="H78" s="93">
        <v>9.6893627966415083E-2</v>
      </c>
      <c r="I78" s="94">
        <v>553960</v>
      </c>
    </row>
    <row r="79" spans="1:11" s="92" customFormat="1">
      <c r="B79" s="92" t="s">
        <v>421</v>
      </c>
      <c r="C79" s="93">
        <v>7.911519349885264E-2</v>
      </c>
      <c r="D79" s="94">
        <v>3689192</v>
      </c>
      <c r="G79" s="92" t="s">
        <v>422</v>
      </c>
      <c r="H79" s="93">
        <v>4.4105946331040223E-2</v>
      </c>
      <c r="I79" s="94">
        <v>3050596</v>
      </c>
    </row>
    <row r="80" spans="1:11" s="92" customFormat="1">
      <c r="B80" s="92" t="s">
        <v>423</v>
      </c>
      <c r="C80" s="93">
        <v>7.5227088840477976E-2</v>
      </c>
      <c r="D80" s="94">
        <v>553960</v>
      </c>
      <c r="G80" s="92" t="s">
        <v>424</v>
      </c>
      <c r="H80" s="93">
        <v>3.5156743302033729E-2</v>
      </c>
      <c r="I80" s="94">
        <v>1692097</v>
      </c>
    </row>
    <row r="81" spans="1:19" s="92" customFormat="1">
      <c r="B81" s="92" t="s">
        <v>425</v>
      </c>
      <c r="C81" s="93">
        <v>3.6132208589374888E-2</v>
      </c>
      <c r="D81" s="94">
        <v>1692097</v>
      </c>
      <c r="G81" s="92" t="s">
        <v>426</v>
      </c>
      <c r="H81" s="93">
        <v>3.3174231740170888E-2</v>
      </c>
      <c r="I81" s="94">
        <v>3689192</v>
      </c>
    </row>
    <row r="82" spans="1:19" s="92" customFormat="1">
      <c r="B82" s="92" t="s">
        <v>427</v>
      </c>
      <c r="C82" s="93">
        <v>0.13450910682324435</v>
      </c>
      <c r="D82" s="94">
        <v>5920853</v>
      </c>
      <c r="G82" s="92" t="s">
        <v>428</v>
      </c>
      <c r="H82" s="93">
        <v>9.1485019227515396E-2</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160</v>
      </c>
      <c r="D92" s="98">
        <v>0.75876883168311537</v>
      </c>
      <c r="E92" s="98">
        <v>0.75650561904100289</v>
      </c>
      <c r="F92" s="98">
        <v>0.66110998795345299</v>
      </c>
      <c r="G92" s="98">
        <v>0.699040083080818</v>
      </c>
      <c r="H92" s="98">
        <v>0.65963545836531601</v>
      </c>
      <c r="I92" s="98">
        <v>0.64570674647899595</v>
      </c>
      <c r="J92" s="98">
        <v>0.61109432221351034</v>
      </c>
      <c r="K92" s="98">
        <v>0.56467476951052531</v>
      </c>
      <c r="L92" s="98">
        <v>0.6991844314328246</v>
      </c>
      <c r="M92" s="98">
        <v>0.61267760392082327</v>
      </c>
      <c r="O92" s="92">
        <v>12153634</v>
      </c>
    </row>
    <row r="93" spans="1:19" s="92" customFormat="1" hidden="1">
      <c r="B93" s="92">
        <v>2</v>
      </c>
      <c r="C93" s="92" t="s">
        <v>161</v>
      </c>
      <c r="D93" s="98">
        <v>6.9301102868382577E-2</v>
      </c>
      <c r="E93" s="98">
        <v>6.4484585322710133E-2</v>
      </c>
      <c r="F93" s="98">
        <v>9.904566943708186E-2</v>
      </c>
      <c r="G93" s="98">
        <v>8.6099776886047627E-2</v>
      </c>
      <c r="H93" s="98">
        <v>0.12486852779745958</v>
      </c>
      <c r="I93" s="98">
        <v>0.14433265563418274</v>
      </c>
      <c r="J93" s="98">
        <v>0.142959733627915</v>
      </c>
      <c r="K93" s="98">
        <v>0.15272778925733752</v>
      </c>
      <c r="L93" s="98">
        <v>9.6893627966415083E-2</v>
      </c>
      <c r="M93" s="98">
        <v>0.13764200144428693</v>
      </c>
      <c r="O93" s="92">
        <v>553960</v>
      </c>
    </row>
    <row r="94" spans="1:19" s="92" customFormat="1" hidden="1">
      <c r="B94" s="92">
        <v>3</v>
      </c>
      <c r="C94" s="92" t="s">
        <v>157</v>
      </c>
      <c r="D94" s="98">
        <v>4.4161251157226245E-2</v>
      </c>
      <c r="E94" s="98">
        <v>5.228650044143425E-2</v>
      </c>
      <c r="F94" s="98">
        <v>7.4661822072936104E-2</v>
      </c>
      <c r="G94" s="98">
        <v>7.7717117100067803E-2</v>
      </c>
      <c r="H94" s="98">
        <v>6.116708873072333E-2</v>
      </c>
      <c r="I94" s="98">
        <v>4.4973109093561982E-2</v>
      </c>
      <c r="J94" s="98">
        <v>4.1548520531305123E-2</v>
      </c>
      <c r="K94" s="98">
        <v>5.1729041694231086E-2</v>
      </c>
      <c r="L94" s="98">
        <v>4.4105946331040223E-2</v>
      </c>
      <c r="M94" s="98">
        <v>4.8506786412000895E-2</v>
      </c>
      <c r="O94" s="92">
        <v>3050596</v>
      </c>
    </row>
    <row r="95" spans="1:19" s="92" customFormat="1" hidden="1">
      <c r="B95" s="92">
        <v>4</v>
      </c>
      <c r="C95" s="92" t="s">
        <v>241</v>
      </c>
      <c r="D95" s="98"/>
      <c r="E95" s="98">
        <v>1.7978609941859274E-2</v>
      </c>
      <c r="F95" s="98">
        <v>2.7754665630213147E-2</v>
      </c>
      <c r="G95" s="98">
        <v>2.2945797073296113E-2</v>
      </c>
      <c r="H95" s="98"/>
      <c r="I95" s="98">
        <v>3.1235589639025577E-2</v>
      </c>
      <c r="J95" s="98">
        <v>4.8031906268219571E-2</v>
      </c>
      <c r="K95" s="98">
        <v>4.0170552327692316E-2</v>
      </c>
      <c r="L95" s="98">
        <v>3.5156743302033729E-2</v>
      </c>
      <c r="M95" s="98">
        <v>3.0788406021865496E-2</v>
      </c>
      <c r="O95" s="92">
        <v>1692097</v>
      </c>
    </row>
    <row r="96" spans="1:19" s="92" customFormat="1" hidden="1">
      <c r="B96" s="92">
        <v>5</v>
      </c>
      <c r="C96" s="92" t="s">
        <v>329</v>
      </c>
      <c r="D96" s="98">
        <v>3.5571041190899516E-2</v>
      </c>
      <c r="E96" s="98">
        <v>3.6972651450617927E-2</v>
      </c>
      <c r="F96" s="98">
        <v>4.8746238178689963E-2</v>
      </c>
      <c r="G96" s="98">
        <v>4.0361269765523788E-2</v>
      </c>
      <c r="H96" s="98">
        <v>3.5882168270989986E-2</v>
      </c>
      <c r="I96" s="98">
        <v>3.1219764817989035E-2</v>
      </c>
      <c r="J96" s="98">
        <v>3.2310001968110263E-2</v>
      </c>
      <c r="K96" s="98">
        <v>3.4613688094612446E-2</v>
      </c>
      <c r="L96" s="98">
        <v>3.3174231740170888E-2</v>
      </c>
      <c r="M96" s="98">
        <v>4.1967074146220619E-2</v>
      </c>
      <c r="O96" s="92">
        <v>3689192</v>
      </c>
    </row>
    <row r="97" spans="1:15" s="92" customFormat="1" hidden="1">
      <c r="B97" s="92">
        <v>6</v>
      </c>
      <c r="C97" s="92" t="s">
        <v>169</v>
      </c>
      <c r="D97" s="98">
        <v>2.1003583137006222E-2</v>
      </c>
      <c r="E97" s="98"/>
      <c r="F97" s="98"/>
      <c r="G97" s="98"/>
      <c r="H97" s="98">
        <v>2.8653189592609936E-2</v>
      </c>
      <c r="I97" s="98"/>
      <c r="J97" s="98"/>
      <c r="K97" s="98"/>
      <c r="L97" s="98"/>
      <c r="M97" s="98"/>
      <c r="O97" s="92">
        <v>11115023</v>
      </c>
    </row>
    <row r="98" spans="1:15" s="92" customFormat="1" hidden="1">
      <c r="B98" s="92">
        <v>7</v>
      </c>
      <c r="C98" s="92" t="s">
        <v>245</v>
      </c>
      <c r="D98" s="98">
        <v>7.1194189963370111E-2</v>
      </c>
      <c r="E98" s="98">
        <v>7.1772033802375498E-2</v>
      </c>
      <c r="F98" s="98">
        <v>8.8681616727625978E-2</v>
      </c>
      <c r="G98" s="98">
        <v>7.383595609424666E-2</v>
      </c>
      <c r="H98" s="98">
        <v>8.9793567242901107E-2</v>
      </c>
      <c r="I98" s="98">
        <v>0.10253213433624467</v>
      </c>
      <c r="J98" s="98">
        <v>0.1240555153909397</v>
      </c>
      <c r="K98" s="98">
        <v>0.15608415911560133</v>
      </c>
      <c r="L98" s="98">
        <v>9.1485019227515438E-2</v>
      </c>
      <c r="M98" s="98">
        <v>0.12841812805480285</v>
      </c>
      <c r="O98" s="92">
        <v>5920853</v>
      </c>
    </row>
    <row r="99" spans="1:15" s="92" customFormat="1" hidden="1">
      <c r="B99" s="92">
        <v>8</v>
      </c>
      <c r="D99" s="98"/>
      <c r="E99" s="98"/>
      <c r="F99" s="98"/>
      <c r="G99" s="98"/>
      <c r="H99" s="98"/>
      <c r="I99" s="98"/>
      <c r="J99" s="98"/>
      <c r="K99" s="98"/>
      <c r="L99" s="98"/>
      <c r="M99" s="98"/>
      <c r="O99" s="92">
        <v>7434864</v>
      </c>
    </row>
    <row r="100" spans="1:15" s="92" customFormat="1" hidden="1">
      <c r="B100" s="92">
        <v>9</v>
      </c>
      <c r="D100" s="98"/>
      <c r="E100" s="98"/>
      <c r="F100" s="98"/>
      <c r="G100" s="98"/>
      <c r="H100" s="98"/>
      <c r="I100" s="98"/>
      <c r="J100" s="98"/>
      <c r="K100" s="98"/>
      <c r="L100" s="98"/>
      <c r="M100" s="98"/>
      <c r="O100" s="92">
        <v>8497745</v>
      </c>
    </row>
    <row r="101" spans="1:15" s="92" customFormat="1" hidden="1">
      <c r="B101" s="92">
        <v>10</v>
      </c>
      <c r="D101" s="98"/>
      <c r="E101" s="98"/>
      <c r="F101" s="98"/>
      <c r="G101" s="98"/>
      <c r="H101" s="98"/>
      <c r="I101" s="98"/>
      <c r="J101" s="98"/>
      <c r="K101" s="98"/>
      <c r="L101" s="98"/>
      <c r="M101" s="98"/>
      <c r="O101" s="92">
        <v>14393110</v>
      </c>
    </row>
    <row r="102" spans="1:15" s="92" customFormat="1" hidden="1">
      <c r="B102" s="92">
        <v>11</v>
      </c>
      <c r="D102" s="98"/>
      <c r="E102" s="98"/>
      <c r="F102" s="98"/>
      <c r="G102" s="98"/>
      <c r="H102" s="98"/>
      <c r="I102" s="98"/>
      <c r="J102" s="98"/>
      <c r="K102" s="98"/>
      <c r="L102" s="98"/>
      <c r="M102" s="98"/>
      <c r="O102" s="92">
        <v>2887140</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8</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18</v>
      </c>
      <c r="D120" s="54">
        <v>36</v>
      </c>
      <c r="E120" s="54">
        <v>18</v>
      </c>
      <c r="F120" s="55">
        <v>72</v>
      </c>
    </row>
    <row r="121" spans="1:15" ht="18" customHeight="1">
      <c r="A121" s="173" t="s">
        <v>191</v>
      </c>
      <c r="B121" s="33" t="s">
        <v>192</v>
      </c>
      <c r="C121" s="56">
        <v>20.547222137451172</v>
      </c>
      <c r="D121" s="56">
        <v>20.564722061157227</v>
      </c>
      <c r="E121" s="56">
        <v>20.508888244628906</v>
      </c>
      <c r="F121" s="57">
        <v>20.546388626098633</v>
      </c>
      <c r="G121" s="206"/>
      <c r="H121" s="206"/>
      <c r="I121" s="206"/>
      <c r="J121" s="206"/>
      <c r="K121" s="206"/>
      <c r="L121" s="206"/>
      <c r="M121" s="206"/>
      <c r="N121" s="206"/>
      <c r="O121" s="206"/>
    </row>
    <row r="122" spans="1:15" ht="18" customHeight="1">
      <c r="A122" s="174"/>
      <c r="B122" s="35" t="s">
        <v>184</v>
      </c>
      <c r="C122" s="58">
        <v>410.61111450195313</v>
      </c>
      <c r="D122" s="58">
        <v>450.75</v>
      </c>
      <c r="E122" s="58">
        <v>425.27777099609375</v>
      </c>
      <c r="F122" s="59">
        <v>434.34722900390625</v>
      </c>
      <c r="G122" s="206"/>
      <c r="H122" s="206"/>
      <c r="I122" s="206"/>
      <c r="J122" s="206"/>
      <c r="K122" s="206"/>
      <c r="L122" s="206"/>
      <c r="M122" s="206"/>
      <c r="N122" s="206"/>
      <c r="O122" s="206"/>
    </row>
    <row r="123" spans="1:15" ht="18" customHeight="1">
      <c r="A123" s="174"/>
      <c r="B123" s="35" t="s">
        <v>185</v>
      </c>
      <c r="C123" s="58">
        <v>170.55555725097656</v>
      </c>
      <c r="D123" s="58">
        <v>167.55555725097656</v>
      </c>
      <c r="E123" s="58">
        <v>139.61111450195313</v>
      </c>
      <c r="F123" s="59">
        <v>161.31944274902344</v>
      </c>
      <c r="G123" s="206"/>
      <c r="H123" s="206"/>
      <c r="I123" s="206"/>
      <c r="J123" s="206"/>
      <c r="K123" s="206"/>
      <c r="L123" s="206"/>
      <c r="M123" s="206"/>
      <c r="N123" s="206"/>
      <c r="O123" s="206"/>
    </row>
    <row r="124" spans="1:15" ht="18" customHeight="1">
      <c r="A124" s="174"/>
      <c r="B124" s="35" t="s">
        <v>186</v>
      </c>
      <c r="C124" s="58">
        <v>328.19522094726563</v>
      </c>
      <c r="D124" s="58">
        <v>345.50437927246094</v>
      </c>
      <c r="E124" s="58">
        <v>328.92669677734375</v>
      </c>
      <c r="F124" s="59">
        <v>337.03268432617188</v>
      </c>
      <c r="G124" s="206"/>
      <c r="H124" s="206"/>
      <c r="I124" s="206"/>
      <c r="J124" s="206"/>
      <c r="K124" s="206"/>
      <c r="L124" s="206"/>
      <c r="M124" s="206"/>
      <c r="N124" s="206"/>
      <c r="O124" s="206"/>
    </row>
    <row r="125" spans="1:15" ht="18" customHeight="1">
      <c r="A125" s="174"/>
      <c r="B125" s="35" t="s">
        <v>187</v>
      </c>
      <c r="C125" s="31">
        <v>369.96743774414063</v>
      </c>
      <c r="D125" s="31">
        <v>340.22433471679688</v>
      </c>
      <c r="E125" s="31">
        <v>144.485107421875</v>
      </c>
      <c r="F125" s="60">
        <v>298.72531127929688</v>
      </c>
      <c r="G125" s="206"/>
      <c r="H125" s="206"/>
      <c r="I125" s="206"/>
      <c r="J125" s="206"/>
      <c r="K125" s="206"/>
      <c r="L125" s="206"/>
      <c r="M125" s="206"/>
      <c r="N125" s="206"/>
      <c r="O125" s="206"/>
    </row>
    <row r="126" spans="1:15" ht="18" customHeight="1">
      <c r="A126" s="174"/>
      <c r="B126" s="35" t="s">
        <v>193</v>
      </c>
      <c r="C126" s="31">
        <f ca="1">956.088*OFFSET($L$112,MATCH($N$1,$C$112:$C$113,0)-1,0)</f>
        <v>956.08799999999997</v>
      </c>
      <c r="D126" s="31">
        <f ca="1">899.0758125*OFFSET($L$112,MATCH($N$1,$C$112:$C$113,0)-1,0)</f>
        <v>899.07581249999998</v>
      </c>
      <c r="E126" s="31">
        <f ca="1">415.88171875*OFFSET($L$112,MATCH($N$1,$C$112:$C$113,0)-1,0)</f>
        <v>415.88171875</v>
      </c>
      <c r="F126" s="60">
        <f ca="1">792.5303125*OFFSET($L$112,MATCH($N$1,$C$112:$C$113,0)-1,0)</f>
        <v>792.53031250000004</v>
      </c>
      <c r="G126" s="206"/>
      <c r="H126" s="206"/>
      <c r="I126" s="206"/>
      <c r="J126" s="206"/>
      <c r="K126" s="206"/>
      <c r="L126" s="206"/>
      <c r="M126" s="206"/>
      <c r="N126" s="206"/>
      <c r="O126" s="206"/>
    </row>
    <row r="127" spans="1:15" ht="18" customHeight="1">
      <c r="A127" s="174"/>
      <c r="B127" s="35" t="s">
        <v>189</v>
      </c>
      <c r="C127" s="58">
        <v>211.77777099609375</v>
      </c>
      <c r="D127" s="58">
        <v>223.66666412353516</v>
      </c>
      <c r="E127" s="58">
        <v>160.11111450195313</v>
      </c>
      <c r="F127" s="59">
        <v>204.80555725097656</v>
      </c>
      <c r="G127" s="206"/>
      <c r="H127" s="206"/>
      <c r="I127" s="206"/>
      <c r="J127" s="206"/>
      <c r="K127" s="206"/>
      <c r="L127" s="206"/>
      <c r="M127" s="206"/>
      <c r="N127" s="206"/>
      <c r="O127" s="206"/>
    </row>
    <row r="128" spans="1:15" ht="18" customHeight="1">
      <c r="A128" s="174"/>
      <c r="B128" s="35" t="s">
        <v>194</v>
      </c>
      <c r="C128" s="58">
        <v>19.222221374511719</v>
      </c>
      <c r="D128" s="58">
        <v>21.388888835906982</v>
      </c>
      <c r="E128" s="58">
        <v>30.55555534362793</v>
      </c>
      <c r="F128" s="59">
        <v>23.138889312744141</v>
      </c>
      <c r="G128" s="206"/>
      <c r="H128" s="206"/>
      <c r="I128" s="206"/>
      <c r="J128" s="206"/>
      <c r="K128" s="206"/>
      <c r="L128" s="206"/>
      <c r="M128" s="206"/>
      <c r="N128" s="206"/>
      <c r="O128" s="206"/>
    </row>
    <row r="129" spans="1:15" ht="18" customHeight="1">
      <c r="A129" s="174"/>
      <c r="B129" s="35" t="s">
        <v>195</v>
      </c>
      <c r="C129" s="61">
        <v>1.7469606399536133</v>
      </c>
      <c r="D129" s="61">
        <v>1.5211222291440123</v>
      </c>
      <c r="E129" s="61">
        <v>0.90240520238876343</v>
      </c>
      <c r="F129" s="62">
        <v>1.4585801362991333</v>
      </c>
      <c r="G129" s="206"/>
      <c r="H129" s="206"/>
      <c r="I129" s="206"/>
      <c r="J129" s="206"/>
      <c r="K129" s="206"/>
      <c r="L129" s="206"/>
      <c r="M129" s="206"/>
      <c r="N129" s="206"/>
      <c r="O129" s="206"/>
    </row>
    <row r="130" spans="1:15" ht="18" customHeight="1">
      <c r="A130" s="175"/>
      <c r="B130" s="37" t="s">
        <v>196</v>
      </c>
      <c r="C130" s="38">
        <f ca="1">2584.24905129409*OFFSET($L$112,MATCH($N$1,$C$112:$C$113,0)-1,0)</f>
        <v>2584.2490512940899</v>
      </c>
      <c r="D130" s="38">
        <f ca="1">2642.5970183714*OFFSET($L$112,MATCH($N$1,$C$112:$C$113,0)-1,0)</f>
        <v>2642.5970183713998</v>
      </c>
      <c r="E130" s="38">
        <f ca="1">2878.37083122821*OFFSET($L$112,MATCH($N$1,$C$112:$C$113,0)-1,0)</f>
        <v>2878.3708312282101</v>
      </c>
      <c r="F130" s="63">
        <f ca="1">2653*OFFSET($L$112,MATCH($N$1,$C$112:$C$113,0)-1,0)</f>
        <v>2653</v>
      </c>
      <c r="G130" s="206"/>
      <c r="H130" s="206"/>
      <c r="I130" s="206"/>
      <c r="J130" s="206"/>
      <c r="K130" s="206"/>
      <c r="L130" s="206"/>
      <c r="M130" s="206"/>
      <c r="N130" s="206"/>
      <c r="O130" s="206"/>
    </row>
    <row r="131" spans="1:15" ht="18" customHeight="1">
      <c r="A131" s="184" t="s">
        <v>197</v>
      </c>
      <c r="B131" s="33" t="s">
        <v>198</v>
      </c>
      <c r="C131" s="64">
        <v>4.1206922668569295</v>
      </c>
      <c r="D131" s="64">
        <v>3.3077724612068682</v>
      </c>
      <c r="E131" s="64">
        <v>2.0982105681023233</v>
      </c>
      <c r="F131" s="65">
        <v>3.2794883166935294</v>
      </c>
      <c r="G131" s="206"/>
      <c r="H131" s="206"/>
      <c r="I131" s="206"/>
      <c r="J131" s="206"/>
      <c r="K131" s="206"/>
      <c r="L131" s="206"/>
      <c r="M131" s="206"/>
      <c r="N131" s="206"/>
      <c r="O131" s="206"/>
    </row>
    <row r="132" spans="1:15" ht="18" customHeight="1">
      <c r="A132" s="185"/>
      <c r="B132" s="35" t="s">
        <v>199</v>
      </c>
      <c r="C132" s="61">
        <f ca="1">10.6488950812999*OFFSET($L$112,MATCH($N$1,$C$112:$C$113,0)-1,0)</f>
        <v>10.6488950812999</v>
      </c>
      <c r="D132" s="61">
        <f ca="1">8.74110964343629*OFFSET($L$112,MATCH($N$1,$C$112:$C$113,0)-1,0)</f>
        <v>8.7411096434362907</v>
      </c>
      <c r="E132" s="61">
        <f ca="1">6.03942809700051*OFFSET($L$112,MATCH($N$1,$C$112:$C$113,0)-1,0)</f>
        <v>6.0394280970005099</v>
      </c>
      <c r="F132" s="62">
        <f ca="1">8.70061492057219*OFFSET($L$112,MATCH($N$1,$C$112:$C$113,0)-1,0)</f>
        <v>8.7006149205721908</v>
      </c>
      <c r="G132" s="206"/>
      <c r="H132" s="206"/>
      <c r="I132" s="206"/>
      <c r="J132" s="206"/>
      <c r="K132" s="206"/>
      <c r="L132" s="206"/>
      <c r="M132" s="206"/>
      <c r="N132" s="206"/>
      <c r="O132" s="206"/>
    </row>
    <row r="133" spans="1:15" ht="18" customHeight="1">
      <c r="A133" s="185"/>
      <c r="B133" s="35" t="s">
        <v>154</v>
      </c>
      <c r="C133" s="61">
        <f ca="1">8.74993053986255*OFFSET($L$112,MATCH($N$1,$C$112:$C$113,0)-1,0)</f>
        <v>8.7499305398625502</v>
      </c>
      <c r="D133" s="61">
        <f ca="1">7.63153380770444*OFFSET($L$112,MATCH($N$1,$C$112:$C$113,0)-1,0)</f>
        <v>7.6315338077044403</v>
      </c>
      <c r="E133" s="61">
        <f ca="1">5.98791781835651*OFFSET($L$112,MATCH($N$1,$C$112:$C$113,0)-1,0)</f>
        <v>5.98791781835651</v>
      </c>
      <c r="F133" s="62">
        <f ca="1">7.59648976550407*OFFSET($L$112,MATCH($N$1,$C$112:$C$113,0)-1,0)</f>
        <v>7.59648976550407</v>
      </c>
      <c r="G133" s="206"/>
      <c r="H133" s="206"/>
      <c r="I133" s="206"/>
      <c r="J133" s="206"/>
      <c r="K133" s="206"/>
      <c r="L133" s="206"/>
      <c r="M133" s="206"/>
      <c r="N133" s="206"/>
      <c r="O133" s="206"/>
    </row>
    <row r="134" spans="1:15" ht="18" customHeight="1">
      <c r="A134" s="186"/>
      <c r="B134" s="37" t="s">
        <v>155</v>
      </c>
      <c r="C134" s="66">
        <f ca="1">1.89896454143736*OFFSET($L$112,MATCH($N$1,$C$112:$C$113,0)-1,0)</f>
        <v>1.8989645414373599</v>
      </c>
      <c r="D134" s="66">
        <f ca="1">1.10957583573186*OFFSET($L$112,MATCH($N$1,$C$112:$C$113,0)-1,0)</f>
        <v>1.1095758357318599</v>
      </c>
      <c r="E134" s="66">
        <f ca="1">0.0515102786439915*OFFSET($L$112,MATCH($N$1,$C$112:$C$113,0)-1,0)</f>
        <v>5.1510278643991499E-2</v>
      </c>
      <c r="F134" s="67">
        <f ca="1">1.10412515506812*OFFSET($L$112,MATCH($N$1,$C$112:$C$113,0)-1,0)</f>
        <v>1.1041251550681199</v>
      </c>
      <c r="G134" s="206"/>
      <c r="H134" s="206"/>
      <c r="I134" s="206"/>
      <c r="J134" s="206"/>
      <c r="K134" s="206"/>
      <c r="L134" s="206"/>
      <c r="M134" s="206"/>
      <c r="N134" s="206"/>
      <c r="O134" s="206"/>
    </row>
    <row r="135" spans="1:15" ht="18" customHeight="1">
      <c r="A135" s="187" t="s">
        <v>254</v>
      </c>
      <c r="B135" s="35" t="s">
        <v>255</v>
      </c>
      <c r="C135" s="68">
        <f ca="1">170.31334375*OFFSET($L$112,MATCH($N$1,$C$112:$C$113,0)-1,0)</f>
        <v>170.31334375</v>
      </c>
      <c r="D135" s="68">
        <f ca="1">206.3585859375*OFFSET($L$112,MATCH($N$1,$C$112:$C$113,0)-1,0)</f>
        <v>206.35858593750001</v>
      </c>
      <c r="E135" s="68">
        <f ca="1">144.69840625*OFFSET($L$112,MATCH($N$1,$C$112:$C$113,0)-1,0)</f>
        <v>144.69840625000001</v>
      </c>
      <c r="F135" s="69">
        <f ca="1">181.932234375*OFFSET($L$112,MATCH($N$1,$C$112:$C$113,0)-1,0)</f>
        <v>181.93223437500001</v>
      </c>
      <c r="G135" s="206"/>
      <c r="H135" s="206"/>
      <c r="I135" s="206"/>
      <c r="J135" s="206"/>
      <c r="K135" s="206"/>
      <c r="L135" s="206"/>
      <c r="M135" s="206"/>
      <c r="N135" s="206"/>
      <c r="O135" s="206"/>
    </row>
    <row r="136" spans="1:15" ht="18" customHeight="1">
      <c r="A136" s="188"/>
      <c r="B136" s="35" t="s">
        <v>256</v>
      </c>
      <c r="C136" s="30">
        <v>324972.21404014528</v>
      </c>
      <c r="D136" s="30">
        <v>393313.87725638226</v>
      </c>
      <c r="E136" s="30">
        <v>276633.34621771425</v>
      </c>
      <c r="F136" s="70">
        <v>347058.33333333331</v>
      </c>
      <c r="G136" s="206"/>
      <c r="H136" s="206"/>
      <c r="I136" s="206"/>
      <c r="J136" s="206"/>
      <c r="K136" s="206"/>
      <c r="L136" s="206"/>
      <c r="M136" s="206"/>
      <c r="N136" s="206"/>
      <c r="O136" s="206"/>
    </row>
    <row r="137" spans="1:15" ht="18" customHeight="1">
      <c r="A137" s="188"/>
      <c r="B137" s="35" t="s">
        <v>257</v>
      </c>
      <c r="C137" s="30">
        <v>1534.496337890625</v>
      </c>
      <c r="D137" s="30">
        <v>1758.4823326159496</v>
      </c>
      <c r="E137" s="30">
        <v>1727.758544921875</v>
      </c>
      <c r="F137" s="70">
        <v>1694.5748291015625</v>
      </c>
      <c r="G137" s="206"/>
      <c r="H137" s="206"/>
      <c r="I137" s="206"/>
      <c r="J137" s="206"/>
      <c r="K137" s="206"/>
      <c r="L137" s="206"/>
      <c r="M137" s="206"/>
      <c r="N137" s="206"/>
      <c r="O137" s="206"/>
    </row>
    <row r="138" spans="1:15" ht="18" customHeight="1">
      <c r="A138" s="188"/>
      <c r="B138" s="35" t="s">
        <v>258</v>
      </c>
      <c r="C138" s="30">
        <f ca="1">804.207839892419*OFFSET($L$112,MATCH($N$1,$C$112:$C$113,0)-1,0)</f>
        <v>804.20783989241897</v>
      </c>
      <c r="D138" s="30">
        <f ca="1">922.61663912296*OFFSET($L$112,MATCH($N$1,$C$112:$C$113,0)-1,0)</f>
        <v>922.61663912296001</v>
      </c>
      <c r="E138" s="30">
        <f ca="1">903.737424476143*OFFSET($L$112,MATCH($N$1,$C$112:$C$113,0)-1,0)</f>
        <v>903.73742447614302</v>
      </c>
      <c r="F138" s="70">
        <f ca="1">888.316883667631*OFFSET($L$112,MATCH($N$1,$C$112:$C$113,0)-1,0)</f>
        <v>888.31688366763103</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460.346847788762*OFFSET($L$112,MATCH($N$1,$C$112:$C$113,0)-1,0)</f>
        <v>460.34684778876198</v>
      </c>
      <c r="D139" s="30">
        <f ca="1">606.536819623068*OFFSET($L$112,MATCH($N$1,$C$112:$C$113,0)-1,0)</f>
        <v>606.53681962306803</v>
      </c>
      <c r="E139" s="30">
        <f ca="1">1001.47626860602*OFFSET($L$112,MATCH($N$1,$C$112:$C$113,0)-1,0)</f>
        <v>1001.47626860602</v>
      </c>
      <c r="F139" s="70">
        <f ca="1">609.028520535711*OFFSET($L$112,MATCH($N$1,$C$112:$C$113,0)-1,0)</f>
        <v>609.02852053571098</v>
      </c>
      <c r="G139" s="206"/>
      <c r="H139" s="206"/>
      <c r="I139" s="46"/>
      <c r="J139" s="206"/>
      <c r="K139" s="71" t="s">
        <v>260</v>
      </c>
      <c r="L139" s="72">
        <f t="shared" ref="L139:M141" ca="1" si="2">C140</f>
        <v>1001.6170625</v>
      </c>
      <c r="M139" s="72">
        <f t="shared" ca="1" si="2"/>
        <v>941.88993749999997</v>
      </c>
      <c r="N139" s="72">
        <f ca="1">E140</f>
        <v>435.68606249999999</v>
      </c>
      <c r="O139" s="72"/>
    </row>
    <row r="140" spans="1:15" ht="18" customHeight="1">
      <c r="A140" s="166" t="s">
        <v>261</v>
      </c>
      <c r="B140" s="33" t="s">
        <v>262</v>
      </c>
      <c r="C140" s="73">
        <f ca="1">1001.6170625*OFFSET($L$112,MATCH($N$1,$C$112:$C$113,0)-1,0)</f>
        <v>1001.6170625</v>
      </c>
      <c r="D140" s="73">
        <f ca="1">941.8899375*OFFSET($L$112,MATCH($N$1,$C$112:$C$113,0)-1,0)</f>
        <v>941.88993749999997</v>
      </c>
      <c r="E140" s="73">
        <f ca="1">435.6860625*OFFSET($L$112,MATCH($N$1,$C$112:$C$113,0)-1,0)</f>
        <v>435.68606249999999</v>
      </c>
      <c r="F140" s="74">
        <f ca="1">830.27075*OFFSET($L$112,MATCH($N$1,$C$112:$C$113,0)-1,0)</f>
        <v>830.27075000000002</v>
      </c>
      <c r="G140" s="206"/>
      <c r="H140" s="206"/>
      <c r="I140" s="46"/>
      <c r="J140" s="206"/>
      <c r="K140" s="71" t="s">
        <v>263</v>
      </c>
      <c r="L140" s="72">
        <f t="shared" ca="1" si="2"/>
        <v>831.12262499999997</v>
      </c>
      <c r="M140" s="72">
        <f t="shared" ca="1" si="2"/>
        <v>827.763375</v>
      </c>
      <c r="N140" s="72">
        <f ca="1">E141</f>
        <v>432.13903125000002</v>
      </c>
      <c r="O140" s="72"/>
    </row>
    <row r="141" spans="1:15" ht="18" customHeight="1">
      <c r="A141" s="167"/>
      <c r="B141" s="35" t="s">
        <v>264</v>
      </c>
      <c r="C141" s="30">
        <f ca="1">831.122625*OFFSET($L$112,MATCH($N$1,$C$112:$C$113,0)-1,0)</f>
        <v>831.12262499999997</v>
      </c>
      <c r="D141" s="30">
        <f ca="1">827.763375*OFFSET($L$112,MATCH($N$1,$C$112:$C$113,0)-1,0)</f>
        <v>827.763375</v>
      </c>
      <c r="E141" s="30">
        <f ca="1">432.13903125*OFFSET($L$112,MATCH($N$1,$C$112:$C$113,0)-1,0)</f>
        <v>432.13903125000002</v>
      </c>
      <c r="F141" s="70">
        <f ca="1">729.697125*OFFSET($L$112,MATCH($N$1,$C$112:$C$113,0)-1,0)</f>
        <v>729.69712500000003</v>
      </c>
      <c r="G141" s="206"/>
      <c r="H141" s="206"/>
      <c r="I141" s="46"/>
      <c r="J141" s="206"/>
      <c r="K141" s="71" t="s">
        <v>265</v>
      </c>
      <c r="L141" s="72">
        <f t="shared" ca="1" si="2"/>
        <v>170.4944375</v>
      </c>
      <c r="M141" s="72">
        <f t="shared" ca="1" si="2"/>
        <v>114.12656250000001</v>
      </c>
      <c r="N141" s="72">
        <f ca="1">E142</f>
        <v>3.5470312499999999</v>
      </c>
      <c r="O141" s="72"/>
    </row>
    <row r="142" spans="1:15" ht="18" customHeight="1">
      <c r="A142" s="168"/>
      <c r="B142" s="37" t="s">
        <v>266</v>
      </c>
      <c r="C142" s="38">
        <f ca="1">170.4944375*OFFSET($L$112,MATCH($N$1,$C$112:$C$113,0)-1,0)</f>
        <v>170.4944375</v>
      </c>
      <c r="D142" s="38">
        <f ca="1">114.1265625*OFFSET($L$112,MATCH($N$1,$C$112:$C$113,0)-1,0)</f>
        <v>114.12656250000001</v>
      </c>
      <c r="E142" s="38">
        <f ca="1">3.54703125*OFFSET($L$112,MATCH($N$1,$C$112:$C$113,0)-1,0)</f>
        <v>3.5470312499999999</v>
      </c>
      <c r="F142" s="63">
        <f ca="1">100.57365625*OFFSET($L$112,MATCH($N$1,$C$112:$C$113,0)-1,0)</f>
        <v>100.57365625</v>
      </c>
      <c r="G142" s="206"/>
      <c r="H142" s="206"/>
      <c r="I142" s="46"/>
      <c r="J142" s="206"/>
      <c r="K142" s="71" t="s">
        <v>267</v>
      </c>
      <c r="L142" s="75">
        <f ca="1">IFERROR(L140/L$139,"")</f>
        <v>0.82978081755670974</v>
      </c>
      <c r="M142" s="75">
        <f t="shared" ref="M142:N143" ca="1" si="3">IFERROR(M140/M$139,"")</f>
        <v>0.87883237949975446</v>
      </c>
      <c r="N142" s="75">
        <f t="shared" ca="1" si="3"/>
        <v>0.9918587451945402</v>
      </c>
      <c r="O142" s="75"/>
    </row>
    <row r="143" spans="1:15" ht="18" customHeight="1">
      <c r="A143" s="206"/>
      <c r="B143" s="206"/>
      <c r="C143" s="206"/>
      <c r="D143" s="206"/>
      <c r="E143" s="206"/>
      <c r="F143" s="206"/>
      <c r="G143" s="206"/>
      <c r="H143" s="206"/>
      <c r="I143" s="46"/>
      <c r="J143" s="206"/>
      <c r="K143" s="71" t="s">
        <v>268</v>
      </c>
      <c r="L143" s="75">
        <f ca="1">IFERROR(L141/L$139,"")</f>
        <v>0.17021918244329032</v>
      </c>
      <c r="M143" s="75">
        <f t="shared" ca="1" si="3"/>
        <v>0.12116762050024556</v>
      </c>
      <c r="N143" s="75">
        <f t="shared" ca="1" si="3"/>
        <v>8.1412548054598365E-3</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7</v>
      </c>
      <c r="B161" s="51"/>
      <c r="C161" s="76" t="s">
        <v>249</v>
      </c>
      <c r="D161" s="76" t="s">
        <v>270</v>
      </c>
      <c r="E161" s="76" t="s">
        <v>251</v>
      </c>
      <c r="F161" s="76" t="s">
        <v>271</v>
      </c>
      <c r="G161" s="77">
        <v>7</v>
      </c>
      <c r="H161" s="76"/>
      <c r="I161" s="76" t="s">
        <v>249</v>
      </c>
      <c r="J161" s="76" t="s">
        <v>270</v>
      </c>
      <c r="K161" s="76" t="s">
        <v>251</v>
      </c>
      <c r="L161" s="51" t="s">
        <v>271</v>
      </c>
      <c r="R161" s="206"/>
      <c r="S161" s="206"/>
    </row>
    <row r="162" spans="1:19" s="46" customFormat="1">
      <c r="A162" s="47">
        <v>1</v>
      </c>
      <c r="B162" s="51" t="s">
        <v>160</v>
      </c>
      <c r="C162" s="51">
        <v>0.51015047131351876</v>
      </c>
      <c r="D162" s="51">
        <v>0.59199518107443938</v>
      </c>
      <c r="E162" s="51">
        <v>0.72599965754832763</v>
      </c>
      <c r="F162" s="47">
        <v>12153634</v>
      </c>
      <c r="G162" s="47">
        <v>1</v>
      </c>
      <c r="H162" s="51" t="s">
        <v>160</v>
      </c>
      <c r="I162" s="51">
        <v>0.64791319035323103</v>
      </c>
      <c r="J162" s="51">
        <v>0.71707673095845348</v>
      </c>
      <c r="K162" s="51">
        <v>0.83229897410126341</v>
      </c>
      <c r="L162" s="47">
        <v>12153634</v>
      </c>
      <c r="R162" s="206"/>
      <c r="S162" s="206"/>
    </row>
    <row r="163" spans="1:19" s="46" customFormat="1">
      <c r="A163" s="47">
        <v>2</v>
      </c>
      <c r="B163" s="51" t="s">
        <v>157</v>
      </c>
      <c r="C163" s="51">
        <v>0.12824948234700642</v>
      </c>
      <c r="D163" s="51">
        <v>0.10859614108814852</v>
      </c>
      <c r="E163" s="51">
        <v>5.9678123824817193E-2</v>
      </c>
      <c r="F163" s="47">
        <v>3050596</v>
      </c>
      <c r="G163" s="47">
        <v>2</v>
      </c>
      <c r="H163" s="51" t="s">
        <v>161</v>
      </c>
      <c r="I163" s="51">
        <v>0.11263552468316392</v>
      </c>
      <c r="J163" s="51">
        <v>0.10092521335219558</v>
      </c>
      <c r="K163" s="51">
        <v>5.6306400944859072E-2</v>
      </c>
      <c r="L163" s="47">
        <v>553960</v>
      </c>
      <c r="N163" s="46" t="s">
        <v>272</v>
      </c>
      <c r="R163" s="206"/>
      <c r="S163" s="206"/>
    </row>
    <row r="164" spans="1:19" s="46" customFormat="1">
      <c r="A164" s="47">
        <v>3</v>
      </c>
      <c r="B164" s="51" t="s">
        <v>329</v>
      </c>
      <c r="C164" s="51">
        <v>8.2163710692100586E-2</v>
      </c>
      <c r="D164" s="51">
        <v>8.9622039293818734E-2</v>
      </c>
      <c r="E164" s="51">
        <v>3.9397255486408107E-2</v>
      </c>
      <c r="F164" s="47">
        <v>3689192</v>
      </c>
      <c r="G164" s="47">
        <v>3</v>
      </c>
      <c r="H164" s="51" t="s">
        <v>157</v>
      </c>
      <c r="I164" s="51">
        <v>5.3804373880794773E-2</v>
      </c>
      <c r="J164" s="51">
        <v>4.5798557663881641E-2</v>
      </c>
      <c r="K164" s="51">
        <v>2.0406068587453793E-2</v>
      </c>
      <c r="L164" s="47">
        <v>3050596</v>
      </c>
      <c r="N164" s="46" t="s">
        <v>273</v>
      </c>
      <c r="R164" s="206"/>
      <c r="S164" s="206"/>
    </row>
    <row r="165" spans="1:19" s="46" customFormat="1">
      <c r="A165" s="47">
        <v>4</v>
      </c>
      <c r="B165" s="51" t="s">
        <v>161</v>
      </c>
      <c r="C165" s="51">
        <v>8.4362150327602484E-2</v>
      </c>
      <c r="D165" s="51">
        <v>7.8798244576693294E-2</v>
      </c>
      <c r="E165" s="51">
        <v>5.0465523762372337E-2</v>
      </c>
      <c r="F165" s="47">
        <v>553960</v>
      </c>
      <c r="G165" s="47">
        <v>4</v>
      </c>
      <c r="H165" s="51" t="s">
        <v>329</v>
      </c>
      <c r="I165" s="51">
        <v>3.5807809238504115E-2</v>
      </c>
      <c r="J165" s="51">
        <v>3.7802002775112427E-2</v>
      </c>
      <c r="K165" s="51">
        <v>1.1992555524477148E-2</v>
      </c>
      <c r="L165" s="47">
        <v>3689192</v>
      </c>
      <c r="R165" s="206"/>
      <c r="S165" s="206"/>
    </row>
    <row r="166" spans="1:19" s="46" customFormat="1">
      <c r="A166" s="47">
        <v>5</v>
      </c>
      <c r="B166" s="51" t="s">
        <v>241</v>
      </c>
      <c r="C166" s="51">
        <v>4.0144434167150592E-2</v>
      </c>
      <c r="D166" s="51">
        <v>3.8897802895742906E-2</v>
      </c>
      <c r="E166" s="51">
        <v>2.0459702353829556E-2</v>
      </c>
      <c r="F166" s="47">
        <v>1692097</v>
      </c>
      <c r="G166" s="47">
        <v>5</v>
      </c>
      <c r="H166" s="51" t="s">
        <v>241</v>
      </c>
      <c r="I166" s="51">
        <v>4.1137415446887593E-2</v>
      </c>
      <c r="J166" s="51">
        <v>3.7133349458006455E-2</v>
      </c>
      <c r="K166" s="51">
        <v>1.7656794432173425E-2</v>
      </c>
      <c r="L166" s="47">
        <v>1692097</v>
      </c>
      <c r="R166" s="206"/>
      <c r="S166" s="206"/>
    </row>
    <row r="167" spans="1:19" s="46" customFormat="1">
      <c r="A167" s="47">
        <v>6</v>
      </c>
      <c r="B167" s="51" t="s">
        <v>245</v>
      </c>
      <c r="C167" s="51">
        <v>0.15492975115262109</v>
      </c>
      <c r="D167" s="51">
        <v>9.2090591071157135E-2</v>
      </c>
      <c r="E167" s="51">
        <v>0.10399973702424514</v>
      </c>
      <c r="F167" s="47">
        <v>5920853</v>
      </c>
      <c r="G167" s="47">
        <v>6</v>
      </c>
      <c r="H167" s="51" t="s">
        <v>245</v>
      </c>
      <c r="I167" s="51">
        <v>0.10870168639741862</v>
      </c>
      <c r="J167" s="51">
        <v>6.1264145792350289E-2</v>
      </c>
      <c r="K167" s="51">
        <v>6.1339206409773195E-2</v>
      </c>
      <c r="L167" s="47">
        <v>5920853</v>
      </c>
      <c r="R167" s="206"/>
      <c r="S167" s="206"/>
    </row>
    <row r="168" spans="1:19" s="46" customFormat="1">
      <c r="A168" s="47">
        <v>7</v>
      </c>
      <c r="B168" s="51"/>
      <c r="C168" s="51">
        <v>0</v>
      </c>
      <c r="D168" s="51">
        <v>0</v>
      </c>
      <c r="E168" s="51">
        <v>0</v>
      </c>
      <c r="F168" s="47"/>
      <c r="G168" s="47">
        <v>7</v>
      </c>
      <c r="H168" s="51"/>
      <c r="I168" s="51">
        <v>0</v>
      </c>
      <c r="J168" s="51">
        <v>0</v>
      </c>
      <c r="K168" s="51">
        <v>0</v>
      </c>
      <c r="L168" s="47"/>
      <c r="R168" s="206"/>
      <c r="S168" s="206"/>
    </row>
    <row r="169" spans="1:19" s="46" customFormat="1">
      <c r="A169" s="47">
        <v>8</v>
      </c>
      <c r="B169" s="51"/>
      <c r="C169" s="51">
        <v>0</v>
      </c>
      <c r="D169" s="51">
        <v>0</v>
      </c>
      <c r="E169" s="51">
        <v>0</v>
      </c>
      <c r="F169" s="47"/>
      <c r="G169" s="47">
        <v>8</v>
      </c>
      <c r="H169" s="51"/>
      <c r="I169" s="51">
        <v>0</v>
      </c>
      <c r="J169" s="51">
        <v>0</v>
      </c>
      <c r="K169" s="51">
        <v>0</v>
      </c>
      <c r="L169" s="47"/>
      <c r="R169" s="206"/>
      <c r="S169" s="206"/>
    </row>
    <row r="170" spans="1:19" s="46" customFormat="1">
      <c r="A170" s="47">
        <v>9</v>
      </c>
      <c r="B170" s="51"/>
      <c r="C170" s="51">
        <v>0</v>
      </c>
      <c r="D170" s="51">
        <v>0</v>
      </c>
      <c r="E170" s="51">
        <v>0</v>
      </c>
      <c r="F170" s="47"/>
      <c r="G170" s="47">
        <v>9</v>
      </c>
      <c r="H170" s="51"/>
      <c r="I170" s="51">
        <v>0</v>
      </c>
      <c r="J170" s="51">
        <v>0</v>
      </c>
      <c r="K170" s="51">
        <v>0</v>
      </c>
      <c r="L170" s="47"/>
      <c r="R170" s="206"/>
      <c r="S170" s="206"/>
    </row>
    <row r="171" spans="1:19" s="46" customFormat="1">
      <c r="A171" s="47">
        <v>10</v>
      </c>
      <c r="B171" s="51"/>
      <c r="C171" s="51">
        <v>0</v>
      </c>
      <c r="D171" s="51">
        <v>0</v>
      </c>
      <c r="E171" s="51">
        <v>0</v>
      </c>
      <c r="F171" s="47"/>
      <c r="G171" s="47">
        <v>10</v>
      </c>
      <c r="H171" s="51"/>
      <c r="I171" s="51">
        <v>0</v>
      </c>
      <c r="J171" s="51">
        <v>0</v>
      </c>
      <c r="K171" s="51">
        <v>0</v>
      </c>
      <c r="L171" s="47"/>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D9BD485A-A74C-4FF0-9043-DD97AC1D608D}">
      <formula1>$C$112:$C$113</formula1>
    </dataValidation>
  </dataValidations>
  <hyperlinks>
    <hyperlink ref="O1:P1" location="Home_page" display="Back to home page" xr:uid="{E25F991E-5C64-4B42-9D12-019A3B294D20}"/>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06F4DDDC-A142-4535-9EED-FB378A720F1F}">
          <x14:colorSeries rgb="FF323232"/>
          <x14:colorNegative rgb="FFD00000"/>
          <x14:colorAxis rgb="FF000000"/>
          <x14:colorMarkers rgb="FFD00000"/>
          <x14:colorFirst rgb="FFD00000"/>
          <x14:colorLast rgb="FFD00000"/>
          <x14:colorHigh rgb="FFD00000"/>
          <x14:colorLow rgb="FFD00000"/>
          <x14:sparklines>
            <x14:sparkline>
              <xm:f>'NS nephrops over 300kW'!D3:N3</xm:f>
              <xm:sqref>C3</xm:sqref>
            </x14:sparkline>
            <x14:sparkline>
              <xm:f>'NS nephrops over 300kW'!D4:N4</xm:f>
              <xm:sqref>C4</xm:sqref>
            </x14:sparkline>
            <x14:sparkline>
              <xm:f>'NS nephrops over 300kW'!D5:N5</xm:f>
              <xm:sqref>C5</xm:sqref>
            </x14:sparkline>
            <x14:sparkline>
              <xm:f>'NS nephrops over 300kW'!D6:N6</xm:f>
              <xm:sqref>C6</xm:sqref>
            </x14:sparkline>
            <x14:sparkline>
              <xm:f>'NS nephrops over 300kW'!D7:N7</xm:f>
              <xm:sqref>C7</xm:sqref>
            </x14:sparkline>
            <x14:sparkline>
              <xm:f>'NS nephrops over 300kW'!D8:N8</xm:f>
              <xm:sqref>C8</xm:sqref>
            </x14:sparkline>
            <x14:sparkline>
              <xm:f>'NS nephrops over 300kW'!D9:N9</xm:f>
              <xm:sqref>C9</xm:sqref>
            </x14:sparkline>
            <x14:sparkline>
              <xm:f>'NS nephrops over 300kW'!D10:N10</xm:f>
              <xm:sqref>C10</xm:sqref>
            </x14:sparkline>
            <x14:sparkline>
              <xm:f>'NS nephrops over 300kW'!D11:N11</xm:f>
              <xm:sqref>C11</xm:sqref>
            </x14:sparkline>
            <x14:sparkline>
              <xm:f>'NS nephrops over 300kW'!D12:N12</xm:f>
              <xm:sqref>C12</xm:sqref>
            </x14:sparkline>
            <x14:sparkline>
              <xm:f>'NS nephrops over 300kW'!D13:N13</xm:f>
              <xm:sqref>C13</xm:sqref>
            </x14:sparkline>
            <x14:sparkline>
              <xm:f>'NS nephrops over 300kW'!D14:N14</xm:f>
              <xm:sqref>C14</xm:sqref>
            </x14:sparkline>
            <x14:sparkline>
              <xm:f>'NS nephrops over 300kW'!D15:N15</xm:f>
              <xm:sqref>C15</xm:sqref>
            </x14:sparkline>
            <x14:sparkline>
              <xm:f>'NS nephrops over 300kW'!D16:N16</xm:f>
              <xm:sqref>C16</xm:sqref>
            </x14:sparkline>
            <x14:sparkline>
              <xm:f>'NS nephrops over 300kW'!D17:N17</xm:f>
              <xm:sqref>C17</xm:sqref>
            </x14:sparkline>
            <x14:sparkline>
              <xm:f>'NS nephrops over 300kW'!D18:N18</xm:f>
              <xm:sqref>C18</xm:sqref>
            </x14:sparkline>
            <x14:sparkline>
              <xm:f>'NS nephrops over 300kW'!D19:N19</xm:f>
              <xm:sqref>C19</xm:sqref>
            </x14:sparkline>
            <x14:sparkline>
              <xm:f>'NS nephrops over 300kW'!D20:N20</xm:f>
              <xm:sqref>C20</xm:sqref>
            </x14:sparkline>
            <x14:sparkline>
              <xm:f>'NS nephrops over 300kW'!D21:N21</xm:f>
              <xm:sqref>C21</xm:sqref>
            </x14:sparkline>
            <x14:sparkline>
              <xm:f>'NS nephrops over 300kW'!D22:N22</xm:f>
              <xm:sqref>C22</xm:sqref>
            </x14:sparkline>
            <x14:sparkline>
              <xm:f>'NS nephrops over 300kW'!D23:N23</xm:f>
              <xm:sqref>C23</xm:sqref>
            </x14:sparkline>
            <x14:sparkline>
              <xm:f>'NS nephrops over 300kW'!D24:N24</xm:f>
              <xm:sqref>C24</xm:sqref>
            </x14:sparkline>
            <x14:sparkline>
              <xm:f>'NS nephrops over 300kW'!D25:N25</xm:f>
              <xm:sqref>C25</xm:sqref>
            </x14:sparkline>
            <x14:sparkline>
              <xm:f>'NS nephrops over 300kW'!D26:N26</xm:f>
              <xm:sqref>C26</xm:sqref>
            </x14:sparkline>
            <x14:sparkline>
              <xm:f>'NS nephrops over 300kW'!D27:N27</xm:f>
              <xm:sqref>C27</xm:sqref>
            </x14:sparkline>
            <x14:sparkline>
              <xm:f>'NS nephrops over 300kW'!D28:N28</xm:f>
              <xm:sqref>C28</xm:sqref>
            </x14:sparkline>
            <x14:sparkline>
              <xm:f>'NS nephrops over 300kW'!D29:N29</xm:f>
              <xm:sqref>C29</xm:sqref>
            </x14:sparkline>
            <x14:sparkline>
              <xm:f>'NS nephrops over 300kW'!D30:N30</xm:f>
              <xm:sqref>C30</xm:sqref>
            </x14:sparkline>
            <x14:sparkline>
              <xm:f>'NS nephrops over 300kW'!D31:N31</xm:f>
              <xm:sqref>C31</xm:sqref>
            </x14:sparkline>
            <x14:sparkline>
              <xm:f>'NS nephrops over 300kW'!D32:N32</xm:f>
              <xm:sqref>C32</xm:sqref>
            </x14:sparkline>
            <x14:sparkline>
              <xm:f>'NS nephrops over 300kW'!D33:N33</xm:f>
              <xm:sqref>C33</xm:sqref>
            </x14:sparkline>
            <x14:sparkline>
              <xm:f>'NS nephrops over 300kW'!D34:N34</xm:f>
              <xm:sqref>C34</xm:sqref>
            </x14:sparkline>
            <x14:sparkline>
              <xm:f>'NS nephrops over 300kW'!D35:N35</xm:f>
              <xm:sqref>C35</xm:sqref>
            </x14:sparkline>
            <x14:sparkline>
              <xm:f>'NS nephrops over 300kW'!D36:N36</xm:f>
              <xm:sqref>C36</xm:sqref>
            </x14:sparkline>
            <x14:sparkline>
              <xm:f>'NS nephrops over 300kW'!D37:N37</xm:f>
              <xm:sqref>C37</xm:sqref>
            </x14:sparkline>
            <x14:sparkline>
              <xm:f>'NS nephrops over 300kW'!D38:N38</xm:f>
              <xm:sqref>C38</xm:sqref>
            </x14:sparkline>
            <x14:sparkline>
              <xm:f>'NS nephrops over 300kW'!D39:N39</xm:f>
              <xm:sqref>C39</xm:sqref>
            </x14:sparkline>
            <x14:sparkline>
              <xm:f>'NS nephrops over 300kW'!D40:N40</xm:f>
              <xm:sqref>C40</xm:sqref>
            </x14:sparkline>
            <x14:sparkline>
              <xm:f>'NS nephrops over 300kW'!D41:N41</xm:f>
              <xm:sqref>C41</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6C49B-0EBC-4A04-82A5-53A579312913}">
  <sheetPr codeName="Feuil44">
    <pageSetUpPr fitToPage="1"/>
  </sheetPr>
  <dimension ref="A1:C85"/>
  <sheetViews>
    <sheetView zoomScale="90" zoomScaleNormal="90" zoomScalePageLayoutView="90" workbookViewId="0">
      <selection activeCell="A44" sqref="A44:C44"/>
    </sheetView>
  </sheetViews>
  <sheetFormatPr defaultColWidth="9" defaultRowHeight="12.75"/>
  <cols>
    <col min="1" max="1" width="9" style="3"/>
    <col min="2" max="2" width="72.25" style="3" customWidth="1"/>
    <col min="3" max="16384" width="9" style="3"/>
  </cols>
  <sheetData>
    <row r="1" spans="1:3" ht="39.75" customHeight="1" thickBot="1">
      <c r="B1" s="152" t="s">
        <v>41</v>
      </c>
      <c r="C1" s="149" t="s">
        <v>42</v>
      </c>
    </row>
    <row r="2" spans="1:3" ht="64.5" customHeight="1">
      <c r="A2" s="154" t="s">
        <v>43</v>
      </c>
      <c r="B2" s="154"/>
      <c r="C2" s="154"/>
    </row>
    <row r="3" spans="1:3" ht="15">
      <c r="A3" s="153"/>
      <c r="B3" s="153"/>
      <c r="C3" s="153"/>
    </row>
    <row r="4" spans="1:3" ht="15" customHeight="1">
      <c r="A4" s="155" t="s">
        <v>44</v>
      </c>
      <c r="B4" s="155"/>
      <c r="C4" s="155"/>
    </row>
    <row r="5" spans="1:3" ht="15.75" customHeight="1">
      <c r="A5" s="154" t="s">
        <v>45</v>
      </c>
      <c r="B5" s="154"/>
      <c r="C5" s="154"/>
    </row>
    <row r="6" spans="1:3" ht="30.75" customHeight="1">
      <c r="A6" s="154" t="s">
        <v>46</v>
      </c>
      <c r="B6" s="154"/>
      <c r="C6" s="154"/>
    </row>
    <row r="7" spans="1:3" ht="33" customHeight="1">
      <c r="A7" s="154" t="s">
        <v>47</v>
      </c>
      <c r="B7" s="154"/>
      <c r="C7" s="154"/>
    </row>
    <row r="8" spans="1:3" ht="50.25" customHeight="1">
      <c r="A8" s="154" t="s">
        <v>48</v>
      </c>
      <c r="B8" s="154"/>
      <c r="C8" s="154"/>
    </row>
    <row r="9" spans="1:3" ht="15">
      <c r="A9" s="153"/>
      <c r="B9" s="153"/>
      <c r="C9" s="153"/>
    </row>
    <row r="10" spans="1:3" ht="15" customHeight="1">
      <c r="A10" s="156" t="s">
        <v>49</v>
      </c>
      <c r="B10" s="156"/>
      <c r="C10" s="153"/>
    </row>
    <row r="11" spans="1:3" ht="27" customHeight="1">
      <c r="A11" s="192" t="s">
        <v>50</v>
      </c>
      <c r="B11" s="192"/>
      <c r="C11" s="192"/>
    </row>
    <row r="12" spans="1:3" ht="15" customHeight="1">
      <c r="A12" s="192" t="s">
        <v>51</v>
      </c>
      <c r="B12" s="192"/>
      <c r="C12" s="153"/>
    </row>
    <row r="13" spans="1:3" ht="15" customHeight="1">
      <c r="A13" s="192" t="s">
        <v>52</v>
      </c>
      <c r="B13" s="192"/>
      <c r="C13" s="192"/>
    </row>
    <row r="14" spans="1:3" ht="15" customHeight="1">
      <c r="A14" s="193"/>
      <c r="B14" s="193"/>
      <c r="C14" s="193"/>
    </row>
    <row r="15" spans="1:3" ht="15">
      <c r="A15" s="153"/>
      <c r="B15" s="153"/>
      <c r="C15" s="153"/>
    </row>
    <row r="16" spans="1:3" ht="15">
      <c r="A16" s="194" t="s">
        <v>53</v>
      </c>
      <c r="B16" s="194"/>
      <c r="C16" s="194"/>
    </row>
    <row r="17" spans="1:3" ht="45" customHeight="1">
      <c r="A17" s="154" t="s">
        <v>54</v>
      </c>
      <c r="B17" s="154"/>
      <c r="C17" s="154"/>
    </row>
    <row r="18" spans="1:3">
      <c r="A18" s="195"/>
      <c r="B18" s="195"/>
      <c r="C18" s="195"/>
    </row>
    <row r="19" spans="1:3" ht="45" customHeight="1">
      <c r="A19" s="154" t="s">
        <v>55</v>
      </c>
      <c r="B19" s="154"/>
      <c r="C19" s="154"/>
    </row>
    <row r="20" spans="1:3">
      <c r="A20" s="195"/>
      <c r="B20" s="195"/>
      <c r="C20" s="195"/>
    </row>
    <row r="21" spans="1:3" ht="32.25" customHeight="1">
      <c r="A21" s="154" t="s">
        <v>56</v>
      </c>
      <c r="B21" s="154"/>
      <c r="C21" s="154"/>
    </row>
    <row r="22" spans="1:3">
      <c r="A22" s="195"/>
      <c r="B22" s="195"/>
      <c r="C22" s="195"/>
    </row>
    <row r="23" spans="1:3" ht="40.5" customHeight="1">
      <c r="A23" s="154" t="s">
        <v>57</v>
      </c>
      <c r="B23" s="154"/>
      <c r="C23" s="154"/>
    </row>
    <row r="24" spans="1:3">
      <c r="A24" s="195"/>
      <c r="B24" s="195"/>
      <c r="C24" s="195"/>
    </row>
    <row r="25" spans="1:3" ht="36.75" customHeight="1">
      <c r="A25" s="154" t="s">
        <v>58</v>
      </c>
      <c r="B25" s="154"/>
      <c r="C25" s="154"/>
    </row>
    <row r="26" spans="1:3">
      <c r="A26" s="195"/>
      <c r="B26" s="195"/>
      <c r="C26" s="195"/>
    </row>
    <row r="27" spans="1:3" ht="28.5" customHeight="1">
      <c r="A27" s="157" t="s">
        <v>59</v>
      </c>
      <c r="B27" s="157"/>
      <c r="C27" s="157"/>
    </row>
    <row r="28" spans="1:3">
      <c r="A28" s="195"/>
      <c r="B28" s="195"/>
      <c r="C28" s="195"/>
    </row>
    <row r="29" spans="1:3" ht="27.75" customHeight="1">
      <c r="A29" s="157" t="s">
        <v>60</v>
      </c>
      <c r="B29" s="157"/>
      <c r="C29" s="157"/>
    </row>
    <row r="30" spans="1:3">
      <c r="A30" s="195"/>
      <c r="B30" s="195"/>
      <c r="C30" s="195"/>
    </row>
    <row r="31" spans="1:3" ht="38.25" customHeight="1">
      <c r="A31" s="157" t="s">
        <v>61</v>
      </c>
      <c r="B31" s="157"/>
      <c r="C31" s="157"/>
    </row>
    <row r="32" spans="1:3">
      <c r="A32" s="195"/>
      <c r="B32" s="195"/>
      <c r="C32" s="195"/>
    </row>
    <row r="33" spans="1:3" ht="24" customHeight="1">
      <c r="A33" s="158" t="s">
        <v>62</v>
      </c>
      <c r="B33" s="158"/>
      <c r="C33" s="158"/>
    </row>
    <row r="34" spans="1:3" ht="30.75" customHeight="1">
      <c r="A34" s="159" t="s">
        <v>63</v>
      </c>
      <c r="B34" s="159"/>
      <c r="C34" s="159"/>
    </row>
    <row r="35" spans="1:3" ht="27.75" customHeight="1">
      <c r="A35" s="160" t="s">
        <v>64</v>
      </c>
      <c r="B35" s="160"/>
      <c r="C35" s="160"/>
    </row>
    <row r="36" spans="1:3" ht="63" customHeight="1">
      <c r="A36" s="158" t="s">
        <v>65</v>
      </c>
      <c r="B36" s="158"/>
      <c r="C36" s="158"/>
    </row>
    <row r="37" spans="1:3" ht="38.25" customHeight="1">
      <c r="A37" s="158" t="s">
        <v>66</v>
      </c>
      <c r="B37" s="158"/>
      <c r="C37" s="158"/>
    </row>
    <row r="38" spans="1:3" ht="15" customHeight="1">
      <c r="A38" s="195"/>
      <c r="B38" s="195"/>
      <c r="C38" s="195"/>
    </row>
    <row r="39" spans="1:3" ht="12.75" customHeight="1">
      <c r="A39" s="157" t="s">
        <v>67</v>
      </c>
      <c r="B39" s="157"/>
      <c r="C39" s="157"/>
    </row>
    <row r="40" spans="1:3">
      <c r="A40" s="195"/>
      <c r="B40" s="195"/>
      <c r="C40" s="195"/>
    </row>
    <row r="41" spans="1:3" ht="39" customHeight="1">
      <c r="A41" s="154" t="s">
        <v>68</v>
      </c>
      <c r="B41" s="154"/>
      <c r="C41" s="154"/>
    </row>
    <row r="42" spans="1:3" ht="15">
      <c r="A42" s="153"/>
      <c r="B42" s="153"/>
      <c r="C42" s="153"/>
    </row>
    <row r="43" spans="1:3" ht="15">
      <c r="A43" s="196" t="s">
        <v>69</v>
      </c>
      <c r="B43" s="196"/>
      <c r="C43" s="196"/>
    </row>
    <row r="44" spans="1:3" ht="77.25" customHeight="1">
      <c r="A44" s="161" t="s">
        <v>70</v>
      </c>
      <c r="B44" s="161"/>
      <c r="C44" s="161"/>
    </row>
    <row r="45" spans="1:3" ht="19.5" customHeight="1">
      <c r="A45" s="195"/>
      <c r="B45" s="195"/>
      <c r="C45" s="195"/>
    </row>
    <row r="46" spans="1:3" ht="79.5" customHeight="1">
      <c r="A46" s="154" t="s">
        <v>71</v>
      </c>
      <c r="B46" s="154"/>
      <c r="C46" s="154"/>
    </row>
    <row r="47" spans="1:3">
      <c r="A47" s="195"/>
      <c r="B47" s="195"/>
      <c r="C47" s="195"/>
    </row>
    <row r="48" spans="1:3" ht="49.5" customHeight="1">
      <c r="A48" s="154" t="s">
        <v>72</v>
      </c>
      <c r="B48" s="154"/>
      <c r="C48" s="154"/>
    </row>
    <row r="49" spans="1:3">
      <c r="A49" s="195"/>
      <c r="B49" s="195"/>
      <c r="C49" s="195"/>
    </row>
    <row r="50" spans="1:3">
      <c r="A50" s="195"/>
      <c r="B50" s="195"/>
      <c r="C50" s="195"/>
    </row>
    <row r="51" spans="1:3">
      <c r="A51" s="195"/>
      <c r="B51" s="195"/>
      <c r="C51" s="195"/>
    </row>
    <row r="52" spans="1:3">
      <c r="A52" s="195"/>
      <c r="B52" s="195"/>
      <c r="C52" s="195"/>
    </row>
    <row r="53" spans="1:3">
      <c r="A53" s="195"/>
      <c r="B53" s="195"/>
      <c r="C53" s="195"/>
    </row>
    <row r="54" spans="1:3">
      <c r="A54" s="195"/>
      <c r="B54" s="195"/>
      <c r="C54" s="195"/>
    </row>
    <row r="55" spans="1:3">
      <c r="A55" s="195"/>
      <c r="B55" s="195"/>
      <c r="C55" s="195"/>
    </row>
    <row r="56" spans="1:3">
      <c r="A56" s="195"/>
      <c r="B56" s="195"/>
      <c r="C56" s="195"/>
    </row>
    <row r="57" spans="1:3">
      <c r="A57" s="195"/>
      <c r="B57" s="195"/>
      <c r="C57" s="195"/>
    </row>
    <row r="58" spans="1:3">
      <c r="A58" s="195"/>
      <c r="B58" s="195"/>
      <c r="C58" s="195"/>
    </row>
    <row r="59" spans="1:3">
      <c r="A59" s="195"/>
      <c r="B59" s="195"/>
      <c r="C59" s="195"/>
    </row>
    <row r="60" spans="1:3">
      <c r="A60" s="195"/>
      <c r="B60" s="195"/>
      <c r="C60" s="195"/>
    </row>
    <row r="61" spans="1:3">
      <c r="A61" s="195"/>
      <c r="B61" s="195"/>
      <c r="C61" s="195"/>
    </row>
    <row r="62" spans="1:3">
      <c r="A62" s="195"/>
      <c r="B62" s="195"/>
      <c r="C62" s="195"/>
    </row>
    <row r="63" spans="1:3">
      <c r="A63" s="195"/>
      <c r="B63" s="195"/>
      <c r="C63" s="195"/>
    </row>
    <row r="64" spans="1:3">
      <c r="A64" s="195"/>
      <c r="B64" s="195"/>
      <c r="C64" s="195"/>
    </row>
    <row r="65" spans="1:3">
      <c r="A65" s="195"/>
      <c r="B65" s="195"/>
      <c r="C65" s="195"/>
    </row>
    <row r="66" spans="1:3">
      <c r="A66" s="195"/>
      <c r="B66" s="195"/>
      <c r="C66" s="195"/>
    </row>
    <row r="67" spans="1:3">
      <c r="A67" s="195"/>
      <c r="B67" s="195"/>
      <c r="C67" s="195"/>
    </row>
    <row r="68" spans="1:3">
      <c r="A68" s="195"/>
      <c r="B68" s="195"/>
      <c r="C68" s="195"/>
    </row>
    <row r="69" spans="1:3">
      <c r="A69" s="195"/>
      <c r="B69" s="195"/>
      <c r="C69" s="195"/>
    </row>
    <row r="70" spans="1:3">
      <c r="A70" s="195"/>
      <c r="B70" s="195"/>
      <c r="C70" s="195"/>
    </row>
    <row r="71" spans="1:3">
      <c r="A71" s="195"/>
      <c r="B71" s="195"/>
      <c r="C71" s="195"/>
    </row>
    <row r="72" spans="1:3">
      <c r="A72" s="195"/>
      <c r="B72" s="195"/>
      <c r="C72" s="195"/>
    </row>
    <row r="73" spans="1:3">
      <c r="A73" s="195"/>
      <c r="B73" s="195"/>
      <c r="C73" s="195"/>
    </row>
    <row r="74" spans="1:3">
      <c r="A74" s="195"/>
      <c r="B74" s="195"/>
      <c r="C74" s="195"/>
    </row>
    <row r="75" spans="1:3">
      <c r="A75" s="195"/>
      <c r="B75" s="195"/>
      <c r="C75" s="195"/>
    </row>
    <row r="76" spans="1:3">
      <c r="A76" s="195"/>
      <c r="B76" s="195"/>
      <c r="C76" s="195"/>
    </row>
    <row r="77" spans="1:3">
      <c r="A77" s="195"/>
      <c r="B77" s="195"/>
      <c r="C77" s="195"/>
    </row>
    <row r="78" spans="1:3">
      <c r="A78" s="195"/>
      <c r="B78" s="195"/>
      <c r="C78" s="195"/>
    </row>
    <row r="79" spans="1:3">
      <c r="A79" s="195"/>
      <c r="B79" s="195"/>
      <c r="C79" s="195"/>
    </row>
    <row r="80" spans="1:3">
      <c r="A80" s="195"/>
      <c r="B80" s="195"/>
      <c r="C80" s="195"/>
    </row>
    <row r="81" spans="1:3">
      <c r="A81" s="195"/>
      <c r="B81" s="195"/>
      <c r="C81" s="195"/>
    </row>
    <row r="82" spans="1:3">
      <c r="A82" s="195"/>
      <c r="B82" s="195"/>
      <c r="C82" s="195"/>
    </row>
    <row r="83" spans="1:3">
      <c r="A83" s="195"/>
      <c r="B83" s="195"/>
      <c r="C83" s="195"/>
    </row>
    <row r="84" spans="1:3">
      <c r="A84" s="195"/>
      <c r="B84" s="195"/>
      <c r="C84" s="195"/>
    </row>
    <row r="85" spans="1:3">
      <c r="A85" s="195"/>
      <c r="B85" s="195"/>
      <c r="C85" s="195"/>
    </row>
  </sheetData>
  <mergeCells count="79">
    <mergeCell ref="A85:C85"/>
    <mergeCell ref="A79:C79"/>
    <mergeCell ref="A80:C80"/>
    <mergeCell ref="A81:C81"/>
    <mergeCell ref="A82:C82"/>
    <mergeCell ref="A83:C83"/>
    <mergeCell ref="A84:C84"/>
    <mergeCell ref="A78:C78"/>
    <mergeCell ref="A67:C67"/>
    <mergeCell ref="A68:C68"/>
    <mergeCell ref="A69:C69"/>
    <mergeCell ref="A70:C70"/>
    <mergeCell ref="A71:C71"/>
    <mergeCell ref="A72:C72"/>
    <mergeCell ref="A73:C73"/>
    <mergeCell ref="A74:C74"/>
    <mergeCell ref="A75:C75"/>
    <mergeCell ref="A76:C76"/>
    <mergeCell ref="A77:C77"/>
    <mergeCell ref="A66:C66"/>
    <mergeCell ref="A55:C55"/>
    <mergeCell ref="A56:C56"/>
    <mergeCell ref="A57:C57"/>
    <mergeCell ref="A58:C58"/>
    <mergeCell ref="A59:C59"/>
    <mergeCell ref="A60:C60"/>
    <mergeCell ref="A61:C61"/>
    <mergeCell ref="A62:C62"/>
    <mergeCell ref="A63:C63"/>
    <mergeCell ref="A64:C64"/>
    <mergeCell ref="A65:C65"/>
    <mergeCell ref="A54:C54"/>
    <mergeCell ref="A43:C43"/>
    <mergeCell ref="A44:C44"/>
    <mergeCell ref="A45:C45"/>
    <mergeCell ref="A46:C46"/>
    <mergeCell ref="A47:C47"/>
    <mergeCell ref="A48:C48"/>
    <mergeCell ref="A49:C49"/>
    <mergeCell ref="A50:C50"/>
    <mergeCell ref="A51:C51"/>
    <mergeCell ref="A52:C52"/>
    <mergeCell ref="A53:C53"/>
    <mergeCell ref="A41:C41"/>
    <mergeCell ref="A30:C30"/>
    <mergeCell ref="A31:C31"/>
    <mergeCell ref="A32:C32"/>
    <mergeCell ref="A33:C33"/>
    <mergeCell ref="A34:C34"/>
    <mergeCell ref="A35:C35"/>
    <mergeCell ref="A36:C36"/>
    <mergeCell ref="A37:C37"/>
    <mergeCell ref="A38:C38"/>
    <mergeCell ref="A39:C39"/>
    <mergeCell ref="A40:C40"/>
    <mergeCell ref="A29:C29"/>
    <mergeCell ref="A18:C18"/>
    <mergeCell ref="A19:C19"/>
    <mergeCell ref="A20:C20"/>
    <mergeCell ref="A21:C21"/>
    <mergeCell ref="A22:C22"/>
    <mergeCell ref="A23:C23"/>
    <mergeCell ref="A24:C24"/>
    <mergeCell ref="A25:C25"/>
    <mergeCell ref="A26:C26"/>
    <mergeCell ref="A27:C27"/>
    <mergeCell ref="A28:C28"/>
    <mergeCell ref="A17:C17"/>
    <mergeCell ref="A2:C2"/>
    <mergeCell ref="A4:C4"/>
    <mergeCell ref="A5:C5"/>
    <mergeCell ref="A6:C6"/>
    <mergeCell ref="A7:C7"/>
    <mergeCell ref="A8:C8"/>
    <mergeCell ref="A10:B10"/>
    <mergeCell ref="A11:C11"/>
    <mergeCell ref="A12:B12"/>
    <mergeCell ref="A13:C13"/>
    <mergeCell ref="A16:C16"/>
  </mergeCells>
  <hyperlinks>
    <hyperlink ref="C1" location="Home_page" display="Back to_x000a_home page" xr:uid="{9D06A723-5EA7-4070-94DC-F23672EE0D1E}"/>
  </hyperlinks>
  <printOptions horizontalCentered="1"/>
  <pageMargins left="0.70866141732283472" right="0.70866141732283472" top="0.74803149606299213" bottom="0.74803149606299213" header="0.31496062992125984" footer="0.31496062992125984"/>
  <pageSetup paperSize="9" scale="8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0C3B0-23C6-4031-99B9-5DA6464F9880}">
  <sheetPr codeName="Feuil20">
    <pageSetUpPr fitToPage="1"/>
  </sheetPr>
  <dimension ref="A1:S192"/>
  <sheetViews>
    <sheetView topLeftCell="A43"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23</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73</v>
      </c>
      <c r="E3" s="27">
        <v>65</v>
      </c>
      <c r="F3" s="27">
        <v>66</v>
      </c>
      <c r="G3" s="27">
        <v>57</v>
      </c>
      <c r="H3" s="27">
        <v>70</v>
      </c>
      <c r="I3" s="27">
        <v>58</v>
      </c>
      <c r="J3" s="27">
        <v>63</v>
      </c>
      <c r="K3" s="27">
        <v>70</v>
      </c>
      <c r="L3" s="27">
        <v>63</v>
      </c>
      <c r="M3" s="27">
        <v>65</v>
      </c>
      <c r="N3" s="27">
        <v>67</v>
      </c>
      <c r="O3" s="28">
        <f t="shared" ref="O3:O41" si="0">IF(N3=0,"",IFERROR(IF(AND(N3&gt;0,D3&lt;0),"na",IF(AND(N3&lt;0,D3&lt;0),-1,1)*(N3-D3)/D3),""))</f>
        <v>-8.2191780821917804E-2</v>
      </c>
      <c r="P3" s="28">
        <f t="shared" ref="P3:P41" si="1">IF(N3=0,"",IFERROR(IF(AND(N3&gt;0,J3&lt;0),"na",IF(AND(N3&lt;0,J3&lt;0),-1,1)*(N3-J3)/J3),""))</f>
        <v>6.3492063492063489E-2</v>
      </c>
      <c r="Q3" s="206"/>
    </row>
    <row r="4" spans="1:17" ht="18" customHeight="1">
      <c r="A4" s="172"/>
      <c r="B4" s="29" t="s">
        <v>184</v>
      </c>
      <c r="C4" s="30"/>
      <c r="D4" s="30">
        <v>13636</v>
      </c>
      <c r="E4" s="30">
        <v>11857</v>
      </c>
      <c r="F4" s="30">
        <v>11670</v>
      </c>
      <c r="G4" s="30">
        <v>9771</v>
      </c>
      <c r="H4" s="30">
        <v>12303</v>
      </c>
      <c r="I4" s="30">
        <v>10115</v>
      </c>
      <c r="J4" s="30">
        <v>11145</v>
      </c>
      <c r="K4" s="30">
        <v>11947</v>
      </c>
      <c r="L4" s="30">
        <v>10753</v>
      </c>
      <c r="M4" s="30">
        <v>11502</v>
      </c>
      <c r="N4" s="30">
        <v>11561</v>
      </c>
      <c r="O4" s="28">
        <f t="shared" si="0"/>
        <v>-0.15217072455265473</v>
      </c>
      <c r="P4" s="28">
        <f t="shared" si="1"/>
        <v>3.7326155226558994E-2</v>
      </c>
      <c r="Q4" s="206"/>
    </row>
    <row r="5" spans="1:17" ht="18" customHeight="1">
      <c r="A5" s="172"/>
      <c r="B5" s="29" t="s">
        <v>185</v>
      </c>
      <c r="C5" s="30"/>
      <c r="D5" s="30">
        <v>3264</v>
      </c>
      <c r="E5" s="30">
        <v>2812</v>
      </c>
      <c r="F5" s="30">
        <v>2799</v>
      </c>
      <c r="G5" s="30">
        <v>2245</v>
      </c>
      <c r="H5" s="30">
        <v>2959</v>
      </c>
      <c r="I5" s="30">
        <v>2304</v>
      </c>
      <c r="J5" s="30">
        <v>2574</v>
      </c>
      <c r="K5" s="30">
        <v>2703</v>
      </c>
      <c r="L5" s="30">
        <v>2321</v>
      </c>
      <c r="M5" s="30">
        <v>2509</v>
      </c>
      <c r="N5" s="30">
        <v>2482</v>
      </c>
      <c r="O5" s="28">
        <f t="shared" si="0"/>
        <v>-0.23958333333333334</v>
      </c>
      <c r="P5" s="28">
        <f t="shared" si="1"/>
        <v>-3.5742035742035744E-2</v>
      </c>
      <c r="Q5" s="207"/>
    </row>
    <row r="6" spans="1:17" ht="18" customHeight="1">
      <c r="A6" s="172"/>
      <c r="B6" s="29" t="s">
        <v>186</v>
      </c>
      <c r="C6" s="30"/>
      <c r="D6" s="30">
        <v>11562.1357421875</v>
      </c>
      <c r="E6" s="30">
        <v>10246.5107421875</v>
      </c>
      <c r="F6" s="30">
        <v>10194.84375</v>
      </c>
      <c r="G6" s="30">
        <v>8490.8203125</v>
      </c>
      <c r="H6" s="30">
        <v>10780.9052734375</v>
      </c>
      <c r="I6" s="30">
        <v>8729.9375</v>
      </c>
      <c r="J6" s="30">
        <v>9676.716796875</v>
      </c>
      <c r="K6" s="30">
        <v>10413.5107421875</v>
      </c>
      <c r="L6" s="30">
        <v>9373.2421875</v>
      </c>
      <c r="M6" s="30">
        <v>9884.0263671875</v>
      </c>
      <c r="N6" s="30">
        <v>9977.56640625</v>
      </c>
      <c r="O6" s="28">
        <f t="shared" si="0"/>
        <v>-0.13704815193924605</v>
      </c>
      <c r="P6" s="28">
        <f t="shared" si="1"/>
        <v>3.1090050033515129E-2</v>
      </c>
      <c r="Q6" s="206"/>
    </row>
    <row r="7" spans="1:17" ht="18" customHeight="1">
      <c r="A7" s="172"/>
      <c r="B7" s="29" t="s">
        <v>187</v>
      </c>
      <c r="C7" s="30"/>
      <c r="D7" s="30">
        <v>5372.20947265625</v>
      </c>
      <c r="E7" s="30">
        <v>5012.86376953125</v>
      </c>
      <c r="F7" s="30">
        <v>4770.91552734375</v>
      </c>
      <c r="G7" s="30">
        <v>3612.77392578125</v>
      </c>
      <c r="H7" s="30">
        <v>4722.68896484375</v>
      </c>
      <c r="I7" s="30">
        <v>2757.90283203125</v>
      </c>
      <c r="J7" s="30">
        <v>4665.78125</v>
      </c>
      <c r="K7" s="30">
        <v>4858.2373046875</v>
      </c>
      <c r="L7" s="30">
        <v>4179.69677734375</v>
      </c>
      <c r="M7" s="30">
        <v>5129.2490234375</v>
      </c>
      <c r="N7" s="30">
        <v>3029.6953125</v>
      </c>
      <c r="O7" s="28">
        <f t="shared" si="0"/>
        <v>-0.43604296743812765</v>
      </c>
      <c r="P7" s="28">
        <f t="shared" si="1"/>
        <v>-0.35065637453534709</v>
      </c>
      <c r="Q7" s="206"/>
    </row>
    <row r="8" spans="1:17" ht="18" customHeight="1">
      <c r="A8" s="172"/>
      <c r="B8" s="29" t="s">
        <v>188</v>
      </c>
      <c r="C8" s="31"/>
      <c r="D8" s="31">
        <f ca="1">13.189579*OFFSET(D$112,MATCH($N$1,$C$112:$C$113,0)-1,0)</f>
        <v>13.189579</v>
      </c>
      <c r="E8" s="31">
        <f ca="1">16.415204*OFFSET(E$112,MATCH($N$1,$C$112:$C$113,0)-1,0)</f>
        <v>16.415203999999999</v>
      </c>
      <c r="F8" s="31">
        <f ca="1">15.085625*OFFSET(F$112,MATCH($N$1,$C$112:$C$113,0)-1,0)</f>
        <v>15.085625</v>
      </c>
      <c r="G8" s="31">
        <f ca="1">9.945122*OFFSET(G$112,MATCH($N$1,$C$112:$C$113,0)-1,0)</f>
        <v>9.9451219999999996</v>
      </c>
      <c r="H8" s="31">
        <f ca="1">14.001193*OFFSET(H$112,MATCH($N$1,$C$112:$C$113,0)-1,0)</f>
        <v>14.001193000000001</v>
      </c>
      <c r="I8" s="31">
        <f ca="1">8.1769765*OFFSET(I$112,MATCH($N$1,$C$112:$C$113,0)-1,0)</f>
        <v>8.1769765000000003</v>
      </c>
      <c r="J8" s="31">
        <f ca="1">13.592559*OFFSET(J$112,MATCH($N$1,$C$112:$C$113,0)-1,0)</f>
        <v>13.592559</v>
      </c>
      <c r="K8" s="31">
        <f ca="1">14.250048*OFFSET(K$112,MATCH($N$1,$C$112:$C$113,0)-1,0)</f>
        <v>14.250048</v>
      </c>
      <c r="L8" s="31">
        <f ca="1">12.381373*OFFSET(L$112,MATCH($N$1,$C$112:$C$113,0)-1,0)</f>
        <v>12.381373</v>
      </c>
      <c r="M8" s="31">
        <f ca="1">13.202126*OFFSET(M$112,MATCH($N$1,$C$112:$C$113,0)-1,0)</f>
        <v>13.202126</v>
      </c>
      <c r="N8" s="31">
        <v>6.6517859999999995</v>
      </c>
      <c r="O8" s="28">
        <f t="shared" ca="1" si="0"/>
        <v>-0.49567867177564962</v>
      </c>
      <c r="P8" s="28">
        <f t="shared" ca="1" si="1"/>
        <v>-0.51063033826080872</v>
      </c>
      <c r="Q8" s="206"/>
    </row>
    <row r="9" spans="1:17" ht="18" customHeight="1">
      <c r="A9" s="172"/>
      <c r="B9" s="29" t="s">
        <v>189</v>
      </c>
      <c r="C9" s="30"/>
      <c r="D9" s="30">
        <v>9033</v>
      </c>
      <c r="E9" s="30">
        <v>8973</v>
      </c>
      <c r="F9" s="30">
        <v>8950</v>
      </c>
      <c r="G9" s="30">
        <v>7121</v>
      </c>
      <c r="H9" s="30">
        <v>8318</v>
      </c>
      <c r="I9" s="30">
        <v>6282</v>
      </c>
      <c r="J9" s="30">
        <v>8597</v>
      </c>
      <c r="K9" s="30">
        <v>8884</v>
      </c>
      <c r="L9" s="30">
        <v>7840</v>
      </c>
      <c r="M9" s="30">
        <v>8105</v>
      </c>
      <c r="N9" s="30">
        <v>6672</v>
      </c>
      <c r="O9" s="28">
        <f t="shared" si="0"/>
        <v>-0.26137495848555298</v>
      </c>
      <c r="P9" s="28">
        <f t="shared" si="1"/>
        <v>-0.22391531929742933</v>
      </c>
      <c r="Q9" s="206"/>
    </row>
    <row r="10" spans="1:17" ht="18" customHeight="1">
      <c r="A10" s="172"/>
      <c r="B10" s="29" t="s">
        <v>190</v>
      </c>
      <c r="C10" s="30"/>
      <c r="D10" s="30">
        <v>202.94921875</v>
      </c>
      <c r="E10" s="30">
        <v>211.11343383789063</v>
      </c>
      <c r="F10" s="30">
        <v>233.62077331542969</v>
      </c>
      <c r="G10" s="30">
        <v>163.59922790527344</v>
      </c>
      <c r="H10" s="30">
        <v>186.0262451171875</v>
      </c>
      <c r="I10" s="30">
        <v>153.50277709960938</v>
      </c>
      <c r="J10" s="30">
        <v>179.4302978515625</v>
      </c>
      <c r="K10" s="30">
        <v>155.05967712402344</v>
      </c>
      <c r="L10" s="30">
        <v>167.49356079101563</v>
      </c>
      <c r="M10" s="30">
        <v>153.58889770507813</v>
      </c>
      <c r="N10" s="30">
        <v>123.085205078125</v>
      </c>
      <c r="O10" s="32">
        <f t="shared" si="0"/>
        <v>-0.39351722644596288</v>
      </c>
      <c r="P10" s="32">
        <f t="shared" si="1"/>
        <v>-0.31402217712445735</v>
      </c>
      <c r="Q10" s="206"/>
    </row>
    <row r="11" spans="1:17" ht="18" customHeight="1">
      <c r="A11" s="173" t="s">
        <v>191</v>
      </c>
      <c r="B11" s="33" t="s">
        <v>192</v>
      </c>
      <c r="C11" s="34"/>
      <c r="D11" s="34">
        <v>14.271369934082031</v>
      </c>
      <c r="E11" s="34">
        <v>14.211384773254395</v>
      </c>
      <c r="F11" s="34">
        <v>14.133029937744141</v>
      </c>
      <c r="G11" s="34">
        <v>14.036491394042969</v>
      </c>
      <c r="H11" s="34">
        <v>14.169428825378418</v>
      </c>
      <c r="I11" s="34">
        <v>14.125</v>
      </c>
      <c r="J11" s="34">
        <v>14.273651123046875</v>
      </c>
      <c r="K11" s="34">
        <v>14.05814266204834</v>
      </c>
      <c r="L11" s="34">
        <v>14.109841346740723</v>
      </c>
      <c r="M11" s="34">
        <v>14.130000114440918</v>
      </c>
      <c r="N11" s="34">
        <v>13.982686042785645</v>
      </c>
      <c r="O11" s="28">
        <f t="shared" si="0"/>
        <v>-2.0228183603241138E-2</v>
      </c>
      <c r="P11" s="28">
        <f t="shared" si="1"/>
        <v>-2.0384768953153495E-2</v>
      </c>
      <c r="Q11" s="206"/>
    </row>
    <row r="12" spans="1:17" ht="18" customHeight="1">
      <c r="A12" s="174"/>
      <c r="B12" s="35" t="s">
        <v>184</v>
      </c>
      <c r="C12" s="30"/>
      <c r="D12" s="30">
        <v>186.79452514648438</v>
      </c>
      <c r="E12" s="30">
        <v>182.41539001464844</v>
      </c>
      <c r="F12" s="30">
        <v>176.81817626953125</v>
      </c>
      <c r="G12" s="30">
        <v>171.42105102539063</v>
      </c>
      <c r="H12" s="30">
        <v>175.75714111328125</v>
      </c>
      <c r="I12" s="30">
        <v>174.39654541015625</v>
      </c>
      <c r="J12" s="30">
        <v>176.90475463867188</v>
      </c>
      <c r="K12" s="30">
        <v>170.67143249511719</v>
      </c>
      <c r="L12" s="30">
        <v>170.68254089355469</v>
      </c>
      <c r="M12" s="30">
        <v>176.95384216308594</v>
      </c>
      <c r="N12" s="30">
        <v>172.55224609375</v>
      </c>
      <c r="O12" s="28">
        <f t="shared" si="0"/>
        <v>-7.6245698537286202E-2</v>
      </c>
      <c r="P12" s="28">
        <f t="shared" si="1"/>
        <v>-2.4603683229497578E-2</v>
      </c>
      <c r="Q12" s="206"/>
    </row>
    <row r="13" spans="1:17" ht="18" customHeight="1">
      <c r="A13" s="174"/>
      <c r="B13" s="35" t="s">
        <v>185</v>
      </c>
      <c r="C13" s="30"/>
      <c r="D13" s="30">
        <v>44.712329864501953</v>
      </c>
      <c r="E13" s="30">
        <v>43.261539459228516</v>
      </c>
      <c r="F13" s="30">
        <v>42.409091949462891</v>
      </c>
      <c r="G13" s="30">
        <v>39.385963439941406</v>
      </c>
      <c r="H13" s="30">
        <v>42.271427154541016</v>
      </c>
      <c r="I13" s="30">
        <v>39.724136352539063</v>
      </c>
      <c r="J13" s="30">
        <v>40.857143402099609</v>
      </c>
      <c r="K13" s="30">
        <v>38.614284515380859</v>
      </c>
      <c r="L13" s="30">
        <v>36.841270446777344</v>
      </c>
      <c r="M13" s="30">
        <v>38.599998474121094</v>
      </c>
      <c r="N13" s="30">
        <v>37.044776916503906</v>
      </c>
      <c r="O13" s="28">
        <f t="shared" si="0"/>
        <v>-0.1714863209149268</v>
      </c>
      <c r="P13" s="28">
        <f t="shared" si="1"/>
        <v>-9.330966798329296E-2</v>
      </c>
      <c r="Q13" s="206"/>
    </row>
    <row r="14" spans="1:17" ht="18" customHeight="1">
      <c r="A14" s="174"/>
      <c r="B14" s="35" t="s">
        <v>186</v>
      </c>
      <c r="C14" s="30"/>
      <c r="D14" s="30">
        <v>158.38542175292969</v>
      </c>
      <c r="E14" s="30">
        <v>157.63862609863281</v>
      </c>
      <c r="F14" s="30">
        <v>154.46733093261719</v>
      </c>
      <c r="G14" s="30">
        <v>148.96176147460938</v>
      </c>
      <c r="H14" s="30">
        <v>154.012939453125</v>
      </c>
      <c r="I14" s="30">
        <v>150.51615905761719</v>
      </c>
      <c r="J14" s="30">
        <v>153.59867858886719</v>
      </c>
      <c r="K14" s="30">
        <v>148.76445007324219</v>
      </c>
      <c r="L14" s="30">
        <v>148.7816162109375</v>
      </c>
      <c r="M14" s="30">
        <v>152.06193542480469</v>
      </c>
      <c r="N14" s="30">
        <v>148.91889953613281</v>
      </c>
      <c r="O14" s="28">
        <f t="shared" si="0"/>
        <v>-5.9768898627324395E-2</v>
      </c>
      <c r="P14" s="28">
        <f t="shared" si="1"/>
        <v>-3.0467573651857996E-2</v>
      </c>
      <c r="Q14" s="206"/>
    </row>
    <row r="15" spans="1:17" ht="18" customHeight="1">
      <c r="A15" s="174"/>
      <c r="B15" s="35" t="s">
        <v>187</v>
      </c>
      <c r="C15" s="31"/>
      <c r="D15" s="31">
        <v>73.591911315917969</v>
      </c>
      <c r="E15" s="31">
        <v>77.120979309082031</v>
      </c>
      <c r="F15" s="31">
        <v>72.286598205566406</v>
      </c>
      <c r="G15" s="31">
        <v>63.381999969482422</v>
      </c>
      <c r="H15" s="31">
        <v>67.466987609863281</v>
      </c>
      <c r="I15" s="31">
        <v>47.550048828125</v>
      </c>
      <c r="J15" s="31">
        <v>74.060020446777344</v>
      </c>
      <c r="K15" s="31">
        <v>69.403388977050781</v>
      </c>
      <c r="L15" s="31">
        <v>66.344398498535156</v>
      </c>
      <c r="M15" s="31">
        <v>78.911521911621094</v>
      </c>
      <c r="N15" s="31">
        <v>45.219333648681641</v>
      </c>
      <c r="O15" s="28">
        <f t="shared" si="0"/>
        <v>-0.38553935017990659</v>
      </c>
      <c r="P15" s="28">
        <f t="shared" si="1"/>
        <v>-0.38942315468062605</v>
      </c>
      <c r="Q15" s="206"/>
    </row>
    <row r="16" spans="1:17" ht="18" customHeight="1">
      <c r="A16" s="174"/>
      <c r="B16" s="35" t="s">
        <v>193</v>
      </c>
      <c r="C16" s="31"/>
      <c r="D16" s="31">
        <f ca="1">180.679171875*OFFSET(D$112,MATCH($N$1,$C$112:$C$113,0)-1,0)</f>
        <v>180.67917187500001</v>
      </c>
      <c r="E16" s="31">
        <f ca="1">252.54159375*OFFSET(E$112,MATCH($N$1,$C$112:$C$113,0)-1,0)</f>
        <v>252.54159375</v>
      </c>
      <c r="F16" s="31">
        <f ca="1">228.5700625*OFFSET(F$112,MATCH($N$1,$C$112:$C$113,0)-1,0)</f>
        <v>228.57006250000001</v>
      </c>
      <c r="G16" s="31">
        <f ca="1">174.475828125*OFFSET(G$112,MATCH($N$1,$C$112:$C$113,0)-1,0)</f>
        <v>174.47582812499999</v>
      </c>
      <c r="H16" s="31">
        <f ca="1">200.017046875*OFFSET(H$112,MATCH($N$1,$C$112:$C$113,0)-1,0)</f>
        <v>200.01704687500001</v>
      </c>
      <c r="I16" s="31">
        <f ca="1">140.982359375*OFFSET(I$112,MATCH($N$1,$C$112:$C$113,0)-1,0)</f>
        <v>140.98235937499999</v>
      </c>
      <c r="J16" s="31">
        <f ca="1">215.75490625*OFFSET(J$112,MATCH($N$1,$C$112:$C$113,0)-1,0)</f>
        <v>215.75490625</v>
      </c>
      <c r="K16" s="31">
        <f ca="1">203.572109375*OFFSET(K$112,MATCH($N$1,$C$112:$C$113,0)-1,0)</f>
        <v>203.572109375</v>
      </c>
      <c r="L16" s="31">
        <f ca="1">196.529734375*OFFSET(L$112,MATCH($N$1,$C$112:$C$113,0)-1,0)</f>
        <v>196.529734375</v>
      </c>
      <c r="M16" s="31">
        <f ca="1">203.109625*OFFSET(M$112,MATCH($N$1,$C$112:$C$113,0)-1,0)</f>
        <v>203.10962499999999</v>
      </c>
      <c r="N16" s="31">
        <v>99.280390624999995</v>
      </c>
      <c r="O16" s="28">
        <f t="shared" ca="1" si="0"/>
        <v>-0.45051557634055606</v>
      </c>
      <c r="P16" s="28">
        <f t="shared" ca="1" si="1"/>
        <v>-0.53984642875299627</v>
      </c>
      <c r="Q16" s="206"/>
    </row>
    <row r="17" spans="1:16" ht="18" customHeight="1">
      <c r="A17" s="174"/>
      <c r="B17" s="35" t="s">
        <v>189</v>
      </c>
      <c r="C17" s="30"/>
      <c r="D17" s="30">
        <v>123.73972320556641</v>
      </c>
      <c r="E17" s="30">
        <v>138.04615783691406</v>
      </c>
      <c r="F17" s="30">
        <v>135.60606384277344</v>
      </c>
      <c r="G17" s="30">
        <v>124.92982482910156</v>
      </c>
      <c r="H17" s="30">
        <v>118.82857513427734</v>
      </c>
      <c r="I17" s="30">
        <v>108.31034851074219</v>
      </c>
      <c r="J17" s="30">
        <v>136.46031188964844</v>
      </c>
      <c r="K17" s="30">
        <v>126.91428375244141</v>
      </c>
      <c r="L17" s="30">
        <v>124.44444274902344</v>
      </c>
      <c r="M17" s="30">
        <v>124.69230651855469</v>
      </c>
      <c r="N17" s="30">
        <v>99.58209228515625</v>
      </c>
      <c r="O17" s="28">
        <f t="shared" si="0"/>
        <v>-0.19522939194132147</v>
      </c>
      <c r="P17" s="28">
        <f t="shared" si="1"/>
        <v>-0.27024868325315388</v>
      </c>
    </row>
    <row r="18" spans="1:16" ht="18" customHeight="1">
      <c r="A18" s="174"/>
      <c r="B18" s="35" t="s">
        <v>194</v>
      </c>
      <c r="C18" s="30"/>
      <c r="D18" s="30">
        <v>29.945205688476563</v>
      </c>
      <c r="E18" s="30">
        <v>30.661539077758789</v>
      </c>
      <c r="F18" s="30">
        <v>32.909091949462891</v>
      </c>
      <c r="G18" s="30">
        <v>34.543861389160156</v>
      </c>
      <c r="H18" s="30">
        <v>35.385715484619141</v>
      </c>
      <c r="I18" s="30">
        <v>36.465518951416016</v>
      </c>
      <c r="J18" s="30">
        <v>37.365077972412109</v>
      </c>
      <c r="K18" s="30">
        <v>38.228572845458984</v>
      </c>
      <c r="L18" s="30">
        <v>39.507938385009766</v>
      </c>
      <c r="M18" s="30">
        <v>40.861537933349609</v>
      </c>
      <c r="N18" s="30">
        <v>40.865673065185547</v>
      </c>
      <c r="O18" s="28">
        <f t="shared" si="0"/>
        <v>0.3646816619099521</v>
      </c>
      <c r="P18" s="28">
        <f t="shared" si="1"/>
        <v>9.3686278277220356E-2</v>
      </c>
    </row>
    <row r="19" spans="1:16" ht="18" customHeight="1">
      <c r="A19" s="174"/>
      <c r="B19" s="35" t="s">
        <v>195</v>
      </c>
      <c r="C19" s="36"/>
      <c r="D19" s="36">
        <v>0.59473150968551636</v>
      </c>
      <c r="E19" s="36">
        <v>0.55866080522537231</v>
      </c>
      <c r="F19" s="36">
        <v>0.53306317329406738</v>
      </c>
      <c r="G19" s="36">
        <v>0.50734084844589233</v>
      </c>
      <c r="H19" s="36">
        <v>0.56776738166809082</v>
      </c>
      <c r="I19" s="36">
        <v>0.4390166699886322</v>
      </c>
      <c r="J19" s="36">
        <v>0.54272204637527466</v>
      </c>
      <c r="K19" s="36">
        <v>0.5468524694442749</v>
      </c>
      <c r="L19" s="36">
        <v>0.53312462568283081</v>
      </c>
      <c r="M19" s="36">
        <v>0.63284999132156372</v>
      </c>
      <c r="N19" s="36">
        <v>0.45409101247787476</v>
      </c>
      <c r="O19" s="28">
        <f t="shared" si="0"/>
        <v>-0.23647729255510583</v>
      </c>
      <c r="P19" s="28">
        <f t="shared" si="1"/>
        <v>-0.1633083352507011</v>
      </c>
    </row>
    <row r="20" spans="1:16" ht="18" customHeight="1">
      <c r="A20" s="175"/>
      <c r="B20" s="37" t="s">
        <v>196</v>
      </c>
      <c r="C20" s="38"/>
      <c r="D20" s="38">
        <f ca="1">2455*OFFSET(D$112,MATCH($N$1,$C$112:$C$113,0)-1,0)</f>
        <v>2455</v>
      </c>
      <c r="E20" s="38">
        <f ca="1">3275*OFFSET(E$112,MATCH($N$1,$C$112:$C$113,0)-1,0)</f>
        <v>3275</v>
      </c>
      <c r="F20" s="38">
        <f ca="1">3162*OFFSET(F$112,MATCH($N$1,$C$112:$C$113,0)-1,0)</f>
        <v>3162</v>
      </c>
      <c r="G20" s="38">
        <f ca="1">2753*OFFSET(G$112,MATCH($N$1,$C$112:$C$113,0)-1,0)</f>
        <v>2753</v>
      </c>
      <c r="H20" s="38">
        <f ca="1">2965*OFFSET(H$112,MATCH($N$1,$C$112:$C$113,0)-1,0)</f>
        <v>2965</v>
      </c>
      <c r="I20" s="38">
        <f ca="1">2965*OFFSET(I$112,MATCH($N$1,$C$112:$C$113,0)-1,0)</f>
        <v>2965</v>
      </c>
      <c r="J20" s="38">
        <f ca="1">2913*OFFSET(J$112,MATCH($N$1,$C$112:$C$113,0)-1,0)</f>
        <v>2913</v>
      </c>
      <c r="K20" s="38">
        <f ca="1">2933*OFFSET(K$112,MATCH($N$1,$C$112:$C$113,0)-1,0)</f>
        <v>2933</v>
      </c>
      <c r="L20" s="38">
        <f ca="1">2962*OFFSET(L$112,MATCH($N$1,$C$112:$C$113,0)-1,0)</f>
        <v>2962</v>
      </c>
      <c r="M20" s="38">
        <f ca="1">2574*OFFSET(M$112,MATCH($N$1,$C$112:$C$113,0)-1,0)</f>
        <v>2574</v>
      </c>
      <c r="N20" s="38">
        <v>2196</v>
      </c>
      <c r="O20" s="32">
        <f t="shared" ca="1" si="0"/>
        <v>-0.1054989816700611</v>
      </c>
      <c r="P20" s="32">
        <f t="shared" ca="1" si="1"/>
        <v>-0.24613800205973224</v>
      </c>
    </row>
    <row r="21" spans="1:16" ht="18" customHeight="1">
      <c r="A21" s="176" t="s">
        <v>197</v>
      </c>
      <c r="B21" s="33" t="s">
        <v>198</v>
      </c>
      <c r="C21" s="39"/>
      <c r="D21" s="39">
        <v>2.9599048245650899</v>
      </c>
      <c r="E21" s="39">
        <v>2.9502739506136586</v>
      </c>
      <c r="F21" s="39">
        <v>2.8683846365261076</v>
      </c>
      <c r="G21" s="39">
        <v>2.8315494410973101</v>
      </c>
      <c r="H21" s="39">
        <v>3.055330906822975</v>
      </c>
      <c r="I21" s="39">
        <v>2.3536535412319641</v>
      </c>
      <c r="J21" s="39">
        <v>2.8779996556265526</v>
      </c>
      <c r="K21" s="39">
        <v>3.0225267443103707</v>
      </c>
      <c r="L21" s="39">
        <v>2.9606245517335932</v>
      </c>
      <c r="M21" s="39">
        <v>3.3926317816088818</v>
      </c>
      <c r="N21" s="39">
        <v>2.463311089994173</v>
      </c>
      <c r="O21" s="28">
        <f t="shared" si="0"/>
        <v>-0.16777354813896195</v>
      </c>
      <c r="P21" s="28">
        <f t="shared" si="1"/>
        <v>-0.14408916443810349</v>
      </c>
    </row>
    <row r="22" spans="1:16" ht="18" customHeight="1">
      <c r="A22" s="176"/>
      <c r="B22" s="35" t="s">
        <v>199</v>
      </c>
      <c r="C22" s="36"/>
      <c r="D22" s="36">
        <f ca="1">7.26700996031287*OFFSET(D$112,MATCH($N$1,$C$112:$C$113,0)-1,0)</f>
        <v>7.2670099603128699</v>
      </c>
      <c r="E22" s="36">
        <f ca="1">9.6610143201247*OFFSET(E$112,MATCH($N$1,$C$112:$C$113,0)-1,0)</f>
        <v>9.6610143201246999</v>
      </c>
      <c r="F22" s="36">
        <f ca="1">9.06982583106706*OFFSET(F$112,MATCH($N$1,$C$112:$C$113,0)-1,0)</f>
        <v>9.0698258310670603</v>
      </c>
      <c r="G22" s="36">
        <f ca="1">7.79459363620912*OFFSET(G$112,MATCH($N$1,$C$112:$C$113,0)-1,0)</f>
        <v>7.7945936362091199</v>
      </c>
      <c r="H22" s="36">
        <f ca="1">9.0580339638479*OFFSET(H$112,MATCH($N$1,$C$112:$C$113,0)-1,0)</f>
        <v>9.0580339638478993</v>
      </c>
      <c r="I22" s="36">
        <f ca="1">6.97840775292619*OFFSET(I$112,MATCH($N$1,$C$112:$C$113,0)-1,0)</f>
        <v>6.9784077529261896</v>
      </c>
      <c r="J22" s="36">
        <f ca="1">8.38431507500696*OFFSET(J$112,MATCH($N$1,$C$112:$C$113,0)-1,0)</f>
        <v>8.3843150750069597</v>
      </c>
      <c r="K22" s="36">
        <f ca="1">8.86559221459736*OFFSET(K$112,MATCH($N$1,$C$112:$C$113,0)-1,0)</f>
        <v>8.8655922145973598</v>
      </c>
      <c r="L22" s="36">
        <f ca="1">8.77015648501438*OFFSET(L$112,MATCH($N$1,$C$112:$C$113,0)-1,0)</f>
        <v>8.7701564850143807</v>
      </c>
      <c r="M22" s="36">
        <f ca="1">8.73226307429997*OFFSET(M$112,MATCH($N$1,$C$112:$C$113,0)-1,0)</f>
        <v>8.7322630742999703</v>
      </c>
      <c r="N22" s="36">
        <v>5.4082726902952949</v>
      </c>
      <c r="O22" s="28">
        <f t="shared" ca="1" si="0"/>
        <v>-0.2557774490703395</v>
      </c>
      <c r="P22" s="28">
        <f t="shared" ca="1" si="1"/>
        <v>-0.35495354815362712</v>
      </c>
    </row>
    <row r="23" spans="1:16" ht="18" customHeight="1">
      <c r="A23" s="176"/>
      <c r="B23" s="35" t="s">
        <v>154</v>
      </c>
      <c r="C23" s="36"/>
      <c r="D23" s="36">
        <f ca="1">7.46943506707596*OFFSET(D$112,MATCH($N$1,$C$112:$C$113,0)-1,0)</f>
        <v>7.4694350670759597</v>
      </c>
      <c r="E23" s="36">
        <f ca="1">9.57728337988954*OFFSET(E$112,MATCH($N$1,$C$112:$C$113,0)-1,0)</f>
        <v>9.5772833798895398</v>
      </c>
      <c r="F23" s="36">
        <f ca="1">9.01409750763195*OFFSET(F$112,MATCH($N$1,$C$112:$C$113,0)-1,0)</f>
        <v>9.0140975076319503</v>
      </c>
      <c r="G23" s="36">
        <f ca="1">8.54014683724821*OFFSET(G$112,MATCH($N$1,$C$112:$C$113,0)-1,0)</f>
        <v>8.5401468372482103</v>
      </c>
      <c r="H23" s="36">
        <f ca="1">8.64085661001013*OFFSET(H$112,MATCH($N$1,$C$112:$C$113,0)-1,0)</f>
        <v>8.6408566100101307</v>
      </c>
      <c r="I23" s="36">
        <f ca="1">6.86332906151429*OFFSET(I$112,MATCH($N$1,$C$112:$C$113,0)-1,0)</f>
        <v>6.8633290615142899</v>
      </c>
      <c r="J23" s="36">
        <f ca="1">7.59137343849819*OFFSET(J$112,MATCH($N$1,$C$112:$C$113,0)-1,0)</f>
        <v>7.5913734384981897</v>
      </c>
      <c r="K23" s="36">
        <f ca="1">8.1972543683249*OFFSET(K$112,MATCH($N$1,$C$112:$C$113,0)-1,0)</f>
        <v>8.1972543683249004</v>
      </c>
      <c r="L23" s="36">
        <f ca="1">8.40070552088153*OFFSET(L$112,MATCH($N$1,$C$112:$C$113,0)-1,0)</f>
        <v>8.4007055208815302</v>
      </c>
      <c r="M23" s="36">
        <f ca="1">9.0994520719912*OFFSET(M$112,MATCH($N$1,$C$112:$C$113,0)-1,0)</f>
        <v>9.0994520719912</v>
      </c>
      <c r="N23" s="36">
        <v>7.0918439196782845</v>
      </c>
      <c r="O23" s="28">
        <f t="shared" ca="1" si="0"/>
        <v>-5.0551500080914392E-2</v>
      </c>
      <c r="P23" s="28">
        <f t="shared" ca="1" si="1"/>
        <v>-6.5802258690981705E-2</v>
      </c>
    </row>
    <row r="24" spans="1:16" ht="18" customHeight="1">
      <c r="A24" s="176"/>
      <c r="B24" s="35" t="s">
        <v>155</v>
      </c>
      <c r="C24" s="36"/>
      <c r="D24" s="36">
        <f ca="1">0.162888278240519*OFFSET(D$112,MATCH($N$1,$C$112:$C$113,0)-1,0)</f>
        <v>0.16288827824051899</v>
      </c>
      <c r="E24" s="36">
        <f ca="1">1.83527336212332*OFFSET(E$112,MATCH($N$1,$C$112:$C$113,0)-1,0)</f>
        <v>1.8352733621233199</v>
      </c>
      <c r="F24" s="36">
        <f ca="1">1.35792541108689*OFFSET(F$112,MATCH($N$1,$C$112:$C$113,0)-1,0)</f>
        <v>1.3579254110868899</v>
      </c>
      <c r="G24" s="36">
        <f ca="1">0.584875194534094*OFFSET(G$112,MATCH($N$1,$C$112:$C$113,0)-1,0)</f>
        <v>0.58487519453409398</v>
      </c>
      <c r="H24" s="36">
        <f ca="1">1.07188485248117*OFFSET(H$112,MATCH($N$1,$C$112:$C$113,0)-1,0)</f>
        <v>1.0718848524811699</v>
      </c>
      <c r="I24" s="36">
        <f ca="1">0.51810478183028*OFFSET(I$112,MATCH($N$1,$C$112:$C$113,0)-1,0)</f>
        <v>0.51810478183027997</v>
      </c>
      <c r="J24" s="36">
        <f ca="1">1.38162407041559*OFFSET(J$112,MATCH($N$1,$C$112:$C$113,0)-1,0)</f>
        <v>1.38162407041559</v>
      </c>
      <c r="K24" s="36">
        <f ca="1">1.48211288908683*OFFSET(K$112,MATCH($N$1,$C$112:$C$113,0)-1,0)</f>
        <v>1.48211288908683</v>
      </c>
      <c r="L24" s="36">
        <f ca="1">0.773518706409374*OFFSET(L$112,MATCH($N$1,$C$112:$C$113,0)-1,0)</f>
        <v>0.77351870640937404</v>
      </c>
      <c r="M24" s="36">
        <f ca="1">-0.16815749156832*OFFSET(M$112,MATCH($N$1,$C$112:$C$113,0)-1,0)</f>
        <v>-0.16815749156831999</v>
      </c>
      <c r="N24" s="36">
        <v>-1.0306973627526679</v>
      </c>
      <c r="O24" s="28">
        <f t="shared" ca="1" si="0"/>
        <v>-7.3276337246978063</v>
      </c>
      <c r="P24" s="28">
        <f t="shared" ca="1" si="1"/>
        <v>-1.7460042024619882</v>
      </c>
    </row>
    <row r="25" spans="1:16" ht="18" customHeight="1">
      <c r="A25" s="176"/>
      <c r="B25" s="35" t="s">
        <v>200</v>
      </c>
      <c r="C25" s="31"/>
      <c r="D25" s="31">
        <f ca="1">65*OFFSET(D$112,MATCH($N$1,$C$112:$C$113,0)-1,0)</f>
        <v>65</v>
      </c>
      <c r="E25" s="31">
        <f ca="1">77.74*OFFSET(E$112,MATCH($N$1,$C$112:$C$113,0)-1,0)</f>
        <v>77.739999999999995</v>
      </c>
      <c r="F25" s="31">
        <f ca="1">64.58*OFFSET(F$112,MATCH($N$1,$C$112:$C$113,0)-1,0)</f>
        <v>64.58</v>
      </c>
      <c r="G25" s="31">
        <f ca="1">60.8*OFFSET(G$112,MATCH($N$1,$C$112:$C$113,0)-1,0)</f>
        <v>60.8</v>
      </c>
      <c r="H25" s="31">
        <f ca="1">75.26*OFFSET(H$112,MATCH($N$1,$C$112:$C$113,0)-1,0)</f>
        <v>75.260000000000005</v>
      </c>
      <c r="I25" s="31">
        <f ca="1">53.28*OFFSET(I$112,MATCH($N$1,$C$112:$C$113,0)-1,0)</f>
        <v>53.28</v>
      </c>
      <c r="J25" s="31">
        <f ca="1">75.77*OFFSET(J$112,MATCH($N$1,$C$112:$C$113,0)-1,0)</f>
        <v>75.77</v>
      </c>
      <c r="K25" s="31">
        <f ca="1">91.91*OFFSET(K$112,MATCH($N$1,$C$112:$C$113,0)-1,0)</f>
        <v>91.91</v>
      </c>
      <c r="L25" s="31">
        <f ca="1">73.91*OFFSET(L$112,MATCH($N$1,$C$112:$C$113,0)-1,0)</f>
        <v>73.91</v>
      </c>
      <c r="M25" s="31">
        <f ca="1">85.95*OFFSET(M$112,MATCH($N$1,$C$112:$C$113,0)-1,0)</f>
        <v>85.95</v>
      </c>
      <c r="N25" s="31">
        <v>54.05</v>
      </c>
      <c r="O25" s="28">
        <f t="shared" ca="1" si="0"/>
        <v>-0.1684615384615385</v>
      </c>
      <c r="P25" s="28">
        <f t="shared" ca="1" si="1"/>
        <v>-0.28665698825392638</v>
      </c>
    </row>
    <row r="26" spans="1:16" ht="18" customHeight="1">
      <c r="A26" s="177"/>
      <c r="B26" s="35" t="s">
        <v>201</v>
      </c>
      <c r="C26" s="31"/>
      <c r="D26" s="31">
        <f ca="1">1.44*OFFSET(D$112,MATCH($N$1,$C$112:$C$113,0)-1,0)</f>
        <v>1.44</v>
      </c>
      <c r="E26" s="31">
        <f ca="1">14.78*OFFSET(E$112,MATCH($N$1,$C$112:$C$113,0)-1,0)</f>
        <v>14.78</v>
      </c>
      <c r="F26" s="31">
        <f ca="1">9.66*OFFSET(F$112,MATCH($N$1,$C$112:$C$113,0)-1,0)</f>
        <v>9.66</v>
      </c>
      <c r="G26" s="31">
        <f ca="1">4.56*OFFSET(G$112,MATCH($N$1,$C$112:$C$113,0)-1,0)</f>
        <v>4.5599999999999996</v>
      </c>
      <c r="H26" s="31">
        <f ca="1">8.92*OFFSET(H$112,MATCH($N$1,$C$112:$C$113,0)-1,0)</f>
        <v>8.92</v>
      </c>
      <c r="I26" s="31">
        <f ca="1">3.97*OFFSET(I$112,MATCH($N$1,$C$112:$C$113,0)-1,0)</f>
        <v>3.97</v>
      </c>
      <c r="J26" s="31">
        <f ca="1">12.5*OFFSET(J$112,MATCH($N$1,$C$112:$C$113,0)-1,0)</f>
        <v>12.5</v>
      </c>
      <c r="K26" s="31">
        <f ca="1">15.35*OFFSET(K$112,MATCH($N$1,$C$112:$C$113,0)-1,0)</f>
        <v>15.35</v>
      </c>
      <c r="L26" s="31">
        <f ca="1">6.51*OFFSET(L$112,MATCH($N$1,$C$112:$C$113,0)-1,0)</f>
        <v>6.51</v>
      </c>
      <c r="M26" s="31">
        <f ca="1">-1.65*OFFSET(M$112,MATCH($N$1,$C$112:$C$113,0)-1,0)</f>
        <v>-1.65</v>
      </c>
      <c r="N26" s="31">
        <v>-10.29</v>
      </c>
      <c r="O26" s="32">
        <f t="shared" ca="1" si="0"/>
        <v>-8.1458333333333321</v>
      </c>
      <c r="P26" s="32">
        <f t="shared" ca="1" si="1"/>
        <v>-1.8231999999999999</v>
      </c>
    </row>
    <row r="27" spans="1:16" ht="18" customHeight="1">
      <c r="A27" s="166" t="s">
        <v>202</v>
      </c>
      <c r="B27" s="33" t="s">
        <v>193</v>
      </c>
      <c r="C27" s="34"/>
      <c r="D27" s="34">
        <f ca="1">180.7*OFFSET(D$112,MATCH($N$1,$C$112:$C$113,0)-1,0)</f>
        <v>180.7</v>
      </c>
      <c r="E27" s="34">
        <f ca="1">252.5*OFFSET(E$112,MATCH($N$1,$C$112:$C$113,0)-1,0)</f>
        <v>252.5</v>
      </c>
      <c r="F27" s="34">
        <f ca="1">228.6*OFFSET(F$112,MATCH($N$1,$C$112:$C$113,0)-1,0)</f>
        <v>228.6</v>
      </c>
      <c r="G27" s="34">
        <f ca="1">174.5*OFFSET(G$112,MATCH($N$1,$C$112:$C$113,0)-1,0)</f>
        <v>174.5</v>
      </c>
      <c r="H27" s="34">
        <f ca="1">200*OFFSET(H$112,MATCH($N$1,$C$112:$C$113,0)-1,0)</f>
        <v>200</v>
      </c>
      <c r="I27" s="34">
        <f ca="1">141*OFFSET(I$112,MATCH($N$1,$C$112:$C$113,0)-1,0)</f>
        <v>141</v>
      </c>
      <c r="J27" s="34">
        <f ca="1">215.8*OFFSET(J$112,MATCH($N$1,$C$112:$C$113,0)-1,0)</f>
        <v>215.8</v>
      </c>
      <c r="K27" s="34">
        <f ca="1">203.6*OFFSET(K$112,MATCH($N$1,$C$112:$C$113,0)-1,0)</f>
        <v>203.6</v>
      </c>
      <c r="L27" s="34">
        <f ca="1">196.5*OFFSET(L$112,MATCH($N$1,$C$112:$C$113,0)-1,0)</f>
        <v>196.5</v>
      </c>
      <c r="M27" s="34">
        <f ca="1">203.1*OFFSET(M$112,MATCH($N$1,$C$112:$C$113,0)-1,0)</f>
        <v>203.1</v>
      </c>
      <c r="N27" s="34">
        <v>99.3</v>
      </c>
      <c r="O27" s="28">
        <f t="shared" ca="1" si="0"/>
        <v>-0.45047039291643604</v>
      </c>
      <c r="P27" s="28">
        <f t="shared" ca="1" si="1"/>
        <v>-0.53985171455050973</v>
      </c>
    </row>
    <row r="28" spans="1:16" ht="18" customHeight="1">
      <c r="A28" s="178"/>
      <c r="B28" s="35" t="s">
        <v>203</v>
      </c>
      <c r="C28" s="31"/>
      <c r="D28" s="31">
        <f ca="1">9.1*OFFSET(D$112,MATCH($N$1,$C$112:$C$113,0)-1,0)</f>
        <v>9.1</v>
      </c>
      <c r="E28" s="31">
        <f ca="1">45.8*OFFSET(E$112,MATCH($N$1,$C$112:$C$113,0)-1,0)</f>
        <v>45.8</v>
      </c>
      <c r="F28" s="31">
        <f ca="1">32.8*OFFSET(F$112,MATCH($N$1,$C$112:$C$113,0)-1,0)</f>
        <v>32.799999999999997</v>
      </c>
      <c r="G28" s="31">
        <f ca="1">29.8*OFFSET(G$112,MATCH($N$1,$C$112:$C$113,0)-1,0)</f>
        <v>29.8</v>
      </c>
      <c r="H28" s="31">
        <f ca="1">14.5*OFFSET(H$112,MATCH($N$1,$C$112:$C$113,0)-1,0)</f>
        <v>14.5</v>
      </c>
      <c r="I28" s="31">
        <f ca="1">8.1*OFFSET(I$112,MATCH($N$1,$C$112:$C$113,0)-1,0)</f>
        <v>8.1</v>
      </c>
      <c r="J28" s="31">
        <f ca="1">15.1*OFFSET(J$112,MATCH($N$1,$C$112:$C$113,0)-1,0)</f>
        <v>15.1</v>
      </c>
      <c r="K28" s="31">
        <f ca="1">18.7*OFFSET(K$112,MATCH($N$1,$C$112:$C$113,0)-1,0)</f>
        <v>18.7</v>
      </c>
      <c r="L28" s="31">
        <f ca="1">9.1*OFFSET(L$112,MATCH($N$1,$C$112:$C$113,0)-1,0)</f>
        <v>9.1</v>
      </c>
      <c r="M28" s="31">
        <f ca="1">4.6*OFFSET(M$112,MATCH($N$1,$C$112:$C$113,0)-1,0)</f>
        <v>4.5999999999999996</v>
      </c>
      <c r="N28" s="31">
        <v>12</v>
      </c>
      <c r="O28" s="28">
        <f t="shared" ca="1" si="0"/>
        <v>0.31868131868131871</v>
      </c>
      <c r="P28" s="28">
        <f t="shared" ca="1" si="1"/>
        <v>-0.20529801324503311</v>
      </c>
    </row>
    <row r="29" spans="1:16" ht="18" customHeight="1">
      <c r="A29" s="178"/>
      <c r="B29" s="40" t="s">
        <v>204</v>
      </c>
      <c r="C29" s="41"/>
      <c r="D29" s="41">
        <f ca="1">189.8*OFFSET(D$112,MATCH($N$1,$C$112:$C$113,0)-1,0)</f>
        <v>189.8</v>
      </c>
      <c r="E29" s="41">
        <f ca="1">298.3*OFFSET(E$112,MATCH($N$1,$C$112:$C$113,0)-1,0)</f>
        <v>298.3</v>
      </c>
      <c r="F29" s="41">
        <f ca="1">261.4*OFFSET(F$112,MATCH($N$1,$C$112:$C$113,0)-1,0)</f>
        <v>261.39999999999998</v>
      </c>
      <c r="G29" s="41">
        <f ca="1">204.3*OFFSET(G$112,MATCH($N$1,$C$112:$C$113,0)-1,0)</f>
        <v>204.3</v>
      </c>
      <c r="H29" s="41">
        <f ca="1">214.5*OFFSET(H$112,MATCH($N$1,$C$112:$C$113,0)-1,0)</f>
        <v>214.5</v>
      </c>
      <c r="I29" s="41">
        <f ca="1">149.1*OFFSET(I$112,MATCH($N$1,$C$112:$C$113,0)-1,0)</f>
        <v>149.1</v>
      </c>
      <c r="J29" s="41">
        <f ca="1">230.9*OFFSET(J$112,MATCH($N$1,$C$112:$C$113,0)-1,0)</f>
        <v>230.9</v>
      </c>
      <c r="K29" s="41">
        <f ca="1">222.3*OFFSET(K$112,MATCH($N$1,$C$112:$C$113,0)-1,0)</f>
        <v>222.3</v>
      </c>
      <c r="L29" s="41">
        <f ca="1">205.6*OFFSET(L$112,MATCH($N$1,$C$112:$C$113,0)-1,0)</f>
        <v>205.6</v>
      </c>
      <c r="M29" s="41">
        <f ca="1">207.7*OFFSET(M$112,MATCH($N$1,$C$112:$C$113,0)-1,0)</f>
        <v>207.7</v>
      </c>
      <c r="N29" s="41">
        <v>111.3</v>
      </c>
      <c r="O29" s="28">
        <f t="shared" ca="1" si="0"/>
        <v>-0.41359325605900954</v>
      </c>
      <c r="P29" s="28">
        <f t="shared" ca="1" si="1"/>
        <v>-0.51797314854915555</v>
      </c>
    </row>
    <row r="30" spans="1:16" ht="18" customHeight="1">
      <c r="A30" s="178"/>
      <c r="B30" s="35" t="s">
        <v>205</v>
      </c>
      <c r="C30" s="31"/>
      <c r="D30" s="31">
        <f ca="1">50.4*OFFSET(D$112,MATCH($N$1,$C$112:$C$113,0)-1,0)</f>
        <v>50.4</v>
      </c>
      <c r="E30" s="31">
        <f ca="1">71.6*OFFSET(E$112,MATCH($N$1,$C$112:$C$113,0)-1,0)</f>
        <v>71.599999999999994</v>
      </c>
      <c r="F30" s="31">
        <f ca="1">70.2*OFFSET(F$112,MATCH($N$1,$C$112:$C$113,0)-1,0)</f>
        <v>70.2</v>
      </c>
      <c r="G30" s="31">
        <f ca="1">58.8*OFFSET(G$112,MATCH($N$1,$C$112:$C$113,0)-1,0)</f>
        <v>58.8</v>
      </c>
      <c r="H30" s="31">
        <f ca="1">53*OFFSET(H$112,MATCH($N$1,$C$112:$C$113,0)-1,0)</f>
        <v>53</v>
      </c>
      <c r="I30" s="31">
        <f ca="1">33.1*OFFSET(I$112,MATCH($N$1,$C$112:$C$113,0)-1,0)</f>
        <v>33.1</v>
      </c>
      <c r="J30" s="31">
        <f ca="1">39.8*OFFSET(J$112,MATCH($N$1,$C$112:$C$113,0)-1,0)</f>
        <v>39.799999999999997</v>
      </c>
      <c r="K30" s="31">
        <f ca="1">42.9*OFFSET(K$112,MATCH($N$1,$C$112:$C$113,0)-1,0)</f>
        <v>42.9</v>
      </c>
      <c r="L30" s="31">
        <f ca="1">50.7*OFFSET(L$112,MATCH($N$1,$C$112:$C$113,0)-1,0)</f>
        <v>50.7</v>
      </c>
      <c r="M30" s="31">
        <f ca="1">51.3*OFFSET(M$112,MATCH($N$1,$C$112:$C$113,0)-1,0)</f>
        <v>51.3</v>
      </c>
      <c r="N30" s="31">
        <v>29.900000000000002</v>
      </c>
      <c r="O30" s="28">
        <f t="shared" ca="1" si="0"/>
        <v>-0.40674603174603169</v>
      </c>
      <c r="P30" s="28">
        <f t="shared" ca="1" si="1"/>
        <v>-0.24874371859296471</v>
      </c>
    </row>
    <row r="31" spans="1:16" ht="18" customHeight="1">
      <c r="A31" s="178"/>
      <c r="B31" s="35" t="s">
        <v>206</v>
      </c>
      <c r="C31" s="31"/>
      <c r="D31" s="31">
        <f ca="1">46.6*OFFSET(D$112,MATCH($N$1,$C$112:$C$113,0)-1,0)</f>
        <v>46.6</v>
      </c>
      <c r="E31" s="31">
        <f ca="1">73.6*OFFSET(E$112,MATCH($N$1,$C$112:$C$113,0)-1,0)</f>
        <v>73.599999999999994</v>
      </c>
      <c r="F31" s="31">
        <f ca="1">61.6*OFFSET(F$112,MATCH($N$1,$C$112:$C$113,0)-1,0)</f>
        <v>61.6</v>
      </c>
      <c r="G31" s="31">
        <f ca="1">45.8*OFFSET(G$112,MATCH($N$1,$C$112:$C$113,0)-1,0)</f>
        <v>45.8</v>
      </c>
      <c r="H31" s="31">
        <f ca="1">38.6*OFFSET(H$112,MATCH($N$1,$C$112:$C$113,0)-1,0)</f>
        <v>38.6</v>
      </c>
      <c r="I31" s="31">
        <f ca="1">34*OFFSET(I$112,MATCH($N$1,$C$112:$C$113,0)-1,0)</f>
        <v>34</v>
      </c>
      <c r="J31" s="31">
        <f ca="1">55.8*OFFSET(J$112,MATCH($N$1,$C$112:$C$113,0)-1,0)</f>
        <v>55.8</v>
      </c>
      <c r="K31" s="31">
        <f ca="1">55.2*OFFSET(K$112,MATCH($N$1,$C$112:$C$113,0)-1,0)</f>
        <v>55.2</v>
      </c>
      <c r="L31" s="31">
        <f ca="1">53*OFFSET(L$112,MATCH($N$1,$C$112:$C$113,0)-1,0)</f>
        <v>53</v>
      </c>
      <c r="M31" s="31">
        <f ca="1">75.4*OFFSET(M$112,MATCH($N$1,$C$112:$C$113,0)-1,0)</f>
        <v>75.400000000000006</v>
      </c>
      <c r="N31" s="31">
        <v>33.9</v>
      </c>
      <c r="O31" s="28">
        <f t="shared" ca="1" si="0"/>
        <v>-0.27253218884120178</v>
      </c>
      <c r="P31" s="28">
        <f t="shared" ca="1" si="1"/>
        <v>-0.39247311827956988</v>
      </c>
    </row>
    <row r="32" spans="1:16" ht="18" customHeight="1">
      <c r="A32" s="178"/>
      <c r="B32" s="35" t="s">
        <v>207</v>
      </c>
      <c r="C32" s="31"/>
      <c r="D32" s="31">
        <f ca="1">32.7*OFFSET(D$112,MATCH($N$1,$C$112:$C$113,0)-1,0)</f>
        <v>32.700000000000003</v>
      </c>
      <c r="E32" s="31">
        <f ca="1">39.9*OFFSET(E$112,MATCH($N$1,$C$112:$C$113,0)-1,0)</f>
        <v>39.9</v>
      </c>
      <c r="F32" s="31">
        <f ca="1">45.6*OFFSET(F$112,MATCH($N$1,$C$112:$C$113,0)-1,0)</f>
        <v>45.6</v>
      </c>
      <c r="G32" s="31">
        <f ca="1">34.5*OFFSET(G$112,MATCH($N$1,$C$112:$C$113,0)-1,0)</f>
        <v>34.5</v>
      </c>
      <c r="H32" s="31">
        <f ca="1">43.6*OFFSET(H$112,MATCH($N$1,$C$112:$C$113,0)-1,0)</f>
        <v>43.6</v>
      </c>
      <c r="I32" s="31">
        <f ca="1">29.9*OFFSET(I$112,MATCH($N$1,$C$112:$C$113,0)-1,0)</f>
        <v>29.9</v>
      </c>
      <c r="J32" s="31">
        <f ca="1">51*OFFSET(J$112,MATCH($N$1,$C$112:$C$113,0)-1,0)</f>
        <v>51</v>
      </c>
      <c r="K32" s="31">
        <f ca="1">39*OFFSET(K$112,MATCH($N$1,$C$112:$C$113,0)-1,0)</f>
        <v>39</v>
      </c>
      <c r="L32" s="31">
        <f ca="1">35.7*OFFSET(L$112,MATCH($N$1,$C$112:$C$113,0)-1,0)</f>
        <v>35.700000000000003</v>
      </c>
      <c r="M32" s="31">
        <f ca="1">27.1*OFFSET(M$112,MATCH($N$1,$C$112:$C$113,0)-1,0)</f>
        <v>27.1</v>
      </c>
      <c r="N32" s="31">
        <v>13.200000000000001</v>
      </c>
      <c r="O32" s="28">
        <f t="shared" ca="1" si="0"/>
        <v>-0.59633027522935778</v>
      </c>
      <c r="P32" s="28">
        <f t="shared" ca="1" si="1"/>
        <v>-0.74117647058823521</v>
      </c>
    </row>
    <row r="33" spans="1:16" ht="18" customHeight="1">
      <c r="A33" s="178"/>
      <c r="B33" s="35" t="s">
        <v>208</v>
      </c>
      <c r="C33" s="31"/>
      <c r="D33" s="31">
        <f ca="1">129.7*OFFSET(D$112,MATCH($N$1,$C$112:$C$113,0)-1,0)</f>
        <v>129.69999999999999</v>
      </c>
      <c r="E33" s="31">
        <f ca="1">185.1*OFFSET(E$112,MATCH($N$1,$C$112:$C$113,0)-1,0)</f>
        <v>185.1</v>
      </c>
      <c r="F33" s="31">
        <f ca="1">177.4*OFFSET(F$112,MATCH($N$1,$C$112:$C$113,0)-1,0)</f>
        <v>177.4</v>
      </c>
      <c r="G33" s="31">
        <f ca="1">139.1*OFFSET(G$112,MATCH($N$1,$C$112:$C$113,0)-1,0)</f>
        <v>139.1</v>
      </c>
      <c r="H33" s="31">
        <f ca="1">135.2*OFFSET(H$112,MATCH($N$1,$C$112:$C$113,0)-1,0)</f>
        <v>135.19999999999999</v>
      </c>
      <c r="I33" s="31">
        <f ca="1">97*OFFSET(I$112,MATCH($N$1,$C$112:$C$113,0)-1,0)</f>
        <v>97</v>
      </c>
      <c r="J33" s="31">
        <f ca="1">146.7*OFFSET(J$112,MATCH($N$1,$C$112:$C$113,0)-1,0)</f>
        <v>146.69999999999999</v>
      </c>
      <c r="K33" s="31">
        <f ca="1">137.1*OFFSET(K$112,MATCH($N$1,$C$112:$C$113,0)-1,0)</f>
        <v>137.1</v>
      </c>
      <c r="L33" s="31">
        <f ca="1">139.3*OFFSET(L$112,MATCH($N$1,$C$112:$C$113,0)-1,0)</f>
        <v>139.30000000000001</v>
      </c>
      <c r="M33" s="31">
        <f ca="1">153.7*OFFSET(M$112,MATCH($N$1,$C$112:$C$113,0)-1,0)</f>
        <v>153.69999999999999</v>
      </c>
      <c r="N33" s="31">
        <v>77</v>
      </c>
      <c r="O33" s="28">
        <f t="shared" ca="1" si="0"/>
        <v>-0.40632228218966843</v>
      </c>
      <c r="P33" s="28">
        <f t="shared" ca="1" si="1"/>
        <v>-0.47511929107021128</v>
      </c>
    </row>
    <row r="34" spans="1:16" ht="18" customHeight="1">
      <c r="A34" s="178"/>
      <c r="B34" s="35" t="s">
        <v>209</v>
      </c>
      <c r="C34" s="31"/>
      <c r="D34" s="31">
        <f ca="1">56*OFFSET(D$112,MATCH($N$1,$C$112:$C$113,0)-1,0)</f>
        <v>56</v>
      </c>
      <c r="E34" s="31">
        <f ca="1">65.2*OFFSET(E$112,MATCH($N$1,$C$112:$C$113,0)-1,0)</f>
        <v>65.2</v>
      </c>
      <c r="F34" s="31">
        <f ca="1">49.8*OFFSET(F$112,MATCH($N$1,$C$112:$C$113,0)-1,0)</f>
        <v>49.8</v>
      </c>
      <c r="G34" s="31">
        <f ca="1">52.1*OFFSET(G$112,MATCH($N$1,$C$112:$C$113,0)-1,0)</f>
        <v>52.1</v>
      </c>
      <c r="H34" s="31">
        <f ca="1">55.6*OFFSET(H$112,MATCH($N$1,$C$112:$C$113,0)-1,0)</f>
        <v>55.6</v>
      </c>
      <c r="I34" s="31">
        <f ca="1">41.6*OFFSET(I$112,MATCH($N$1,$C$112:$C$113,0)-1,0)</f>
        <v>41.6</v>
      </c>
      <c r="J34" s="31">
        <f ca="1">48.7*OFFSET(J$112,MATCH($N$1,$C$112:$C$113,0)-1,0)</f>
        <v>48.7</v>
      </c>
      <c r="K34" s="31">
        <f ca="1">51.1*OFFSET(K$112,MATCH($N$1,$C$112:$C$113,0)-1,0)</f>
        <v>51.1</v>
      </c>
      <c r="L34" s="31">
        <f ca="1">48.9*OFFSET(L$112,MATCH($N$1,$C$112:$C$113,0)-1,0)</f>
        <v>48.9</v>
      </c>
      <c r="M34" s="31">
        <f ca="1">58*OFFSET(M$112,MATCH($N$1,$C$112:$C$113,0)-1,0)</f>
        <v>58</v>
      </c>
      <c r="N34" s="31">
        <v>53.1</v>
      </c>
      <c r="O34" s="28">
        <f t="shared" ca="1" si="0"/>
        <v>-5.1785714285714261E-2</v>
      </c>
      <c r="P34" s="28">
        <f t="shared" ca="1" si="1"/>
        <v>9.0349075975359308E-2</v>
      </c>
    </row>
    <row r="35" spans="1:16" ht="18" customHeight="1">
      <c r="A35" s="178"/>
      <c r="B35" s="35" t="s">
        <v>210</v>
      </c>
      <c r="C35" s="31"/>
      <c r="D35" s="31">
        <f ca="1">185.7*OFFSET(D$112,MATCH($N$1,$C$112:$C$113,0)-1,0)</f>
        <v>185.7</v>
      </c>
      <c r="E35" s="31">
        <f ca="1">250.4*OFFSET(E$112,MATCH($N$1,$C$112:$C$113,0)-1,0)</f>
        <v>250.4</v>
      </c>
      <c r="F35" s="31">
        <f ca="1">227.2*OFFSET(F$112,MATCH($N$1,$C$112:$C$113,0)-1,0)</f>
        <v>227.2</v>
      </c>
      <c r="G35" s="31">
        <f ca="1">191.2*OFFSET(G$112,MATCH($N$1,$C$112:$C$113,0)-1,0)</f>
        <v>191.2</v>
      </c>
      <c r="H35" s="31">
        <f ca="1">190.8*OFFSET(H$112,MATCH($N$1,$C$112:$C$113,0)-1,0)</f>
        <v>190.8</v>
      </c>
      <c r="I35" s="31">
        <f ca="1">138.7*OFFSET(I$112,MATCH($N$1,$C$112:$C$113,0)-1,0)</f>
        <v>138.69999999999999</v>
      </c>
      <c r="J35" s="31">
        <f ca="1">195.4*OFFSET(J$112,MATCH($N$1,$C$112:$C$113,0)-1,0)</f>
        <v>195.4</v>
      </c>
      <c r="K35" s="31">
        <f ca="1">188.2*OFFSET(K$112,MATCH($N$1,$C$112:$C$113,0)-1,0)</f>
        <v>188.2</v>
      </c>
      <c r="L35" s="31">
        <f ca="1">188.3*OFFSET(L$112,MATCH($N$1,$C$112:$C$113,0)-1,0)</f>
        <v>188.3</v>
      </c>
      <c r="M35" s="31">
        <f ca="1">211.7*OFFSET(M$112,MATCH($N$1,$C$112:$C$113,0)-1,0)</f>
        <v>211.7</v>
      </c>
      <c r="N35" s="31">
        <v>130.19999999999999</v>
      </c>
      <c r="O35" s="28">
        <f t="shared" ca="1" si="0"/>
        <v>-0.29886914378029084</v>
      </c>
      <c r="P35" s="28">
        <f t="shared" ca="1" si="1"/>
        <v>-0.33367451381780971</v>
      </c>
    </row>
    <row r="36" spans="1:16" ht="18" customHeight="1">
      <c r="A36" s="178"/>
      <c r="B36" s="40" t="s">
        <v>211</v>
      </c>
      <c r="C36" s="41"/>
      <c r="D36" s="41">
        <f ca="1">50.6*OFFSET(D$112,MATCH($N$1,$C$112:$C$113,0)-1,0)</f>
        <v>50.6</v>
      </c>
      <c r="E36" s="41">
        <f ca="1">121.6*OFFSET(E$112,MATCH($N$1,$C$112:$C$113,0)-1,0)</f>
        <v>121.6</v>
      </c>
      <c r="F36" s="41">
        <f ca="1">95.8*OFFSET(F$112,MATCH($N$1,$C$112:$C$113,0)-1,0)</f>
        <v>95.8</v>
      </c>
      <c r="G36" s="41">
        <f ca="1">58.9*OFFSET(G$112,MATCH($N$1,$C$112:$C$113,0)-1,0)</f>
        <v>58.9</v>
      </c>
      <c r="H36" s="41">
        <f ca="1">62.3*OFFSET(H$112,MATCH($N$1,$C$112:$C$113,0)-1,0)</f>
        <v>62.3</v>
      </c>
      <c r="I36" s="41">
        <f ca="1">44.5*OFFSET(I$112,MATCH($N$1,$C$112:$C$113,0)-1,0)</f>
        <v>44.5</v>
      </c>
      <c r="J36" s="41">
        <f ca="1">91.4*OFFSET(J$112,MATCH($N$1,$C$112:$C$113,0)-1,0)</f>
        <v>91.4</v>
      </c>
      <c r="K36" s="41">
        <f ca="1">89.2*OFFSET(K$112,MATCH($N$1,$C$112:$C$113,0)-1,0)</f>
        <v>89.2</v>
      </c>
      <c r="L36" s="41">
        <f ca="1">70.3*OFFSET(L$112,MATCH($N$1,$C$112:$C$113,0)-1,0)</f>
        <v>70.3</v>
      </c>
      <c r="M36" s="41">
        <f ca="1">71.5*OFFSET(M$112,MATCH($N$1,$C$112:$C$113,0)-1,0)</f>
        <v>71.5</v>
      </c>
      <c r="N36" s="41">
        <v>14.999999999999996</v>
      </c>
      <c r="O36" s="28">
        <f t="shared" ca="1" si="0"/>
        <v>-0.70355731225296458</v>
      </c>
      <c r="P36" s="28">
        <f t="shared" ca="1" si="1"/>
        <v>-0.83588621444201316</v>
      </c>
    </row>
    <row r="37" spans="1:16" ht="18" customHeight="1">
      <c r="A37" s="178"/>
      <c r="B37" s="40" t="s">
        <v>212</v>
      </c>
      <c r="C37" s="41"/>
      <c r="D37" s="41">
        <f ca="1">4*OFFSET(D$112,MATCH($N$1,$C$112:$C$113,0)-1,0)</f>
        <v>4</v>
      </c>
      <c r="E37" s="41">
        <f ca="1">48*OFFSET(E$112,MATCH($N$1,$C$112:$C$113,0)-1,0)</f>
        <v>48</v>
      </c>
      <c r="F37" s="41">
        <f ca="1">34.2*OFFSET(F$112,MATCH($N$1,$C$112:$C$113,0)-1,0)</f>
        <v>34.200000000000003</v>
      </c>
      <c r="G37" s="41">
        <f ca="1">13.1*OFFSET(G$112,MATCH($N$1,$C$112:$C$113,0)-1,0)</f>
        <v>13.1</v>
      </c>
      <c r="H37" s="41">
        <f ca="1">23.7*OFFSET(H$112,MATCH($N$1,$C$112:$C$113,0)-1,0)</f>
        <v>23.7</v>
      </c>
      <c r="I37" s="41">
        <f ca="1">10.5*OFFSET(I$112,MATCH($N$1,$C$112:$C$113,0)-1,0)</f>
        <v>10.5</v>
      </c>
      <c r="J37" s="41">
        <f ca="1">35.6*OFFSET(J$112,MATCH($N$1,$C$112:$C$113,0)-1,0)</f>
        <v>35.6</v>
      </c>
      <c r="K37" s="41">
        <f ca="1">34*OFFSET(K$112,MATCH($N$1,$C$112:$C$113,0)-1,0)</f>
        <v>34</v>
      </c>
      <c r="L37" s="41">
        <f ca="1">17.3*OFFSET(L$112,MATCH($N$1,$C$112:$C$113,0)-1,0)</f>
        <v>17.3</v>
      </c>
      <c r="M37" s="41">
        <f ca="1">-3.9*OFFSET(M$112,MATCH($N$1,$C$112:$C$113,0)-1,0)</f>
        <v>-3.9</v>
      </c>
      <c r="N37" s="41">
        <v>-18.900000000000002</v>
      </c>
      <c r="O37" s="28">
        <f t="shared" ca="1" si="0"/>
        <v>-5.7250000000000005</v>
      </c>
      <c r="P37" s="28">
        <f t="shared" ca="1" si="1"/>
        <v>-1.5308988764044944</v>
      </c>
    </row>
    <row r="38" spans="1:16" ht="18" customHeight="1">
      <c r="A38" s="178"/>
      <c r="B38" s="35" t="s">
        <v>213</v>
      </c>
      <c r="C38" s="31"/>
      <c r="D38" s="31">
        <f ca="1">11.1*OFFSET(D$112,MATCH($N$1,$C$112:$C$113,0)-1,0)</f>
        <v>11.1</v>
      </c>
      <c r="E38" s="31">
        <f ca="1">7.6*OFFSET(E$112,MATCH($N$1,$C$112:$C$113,0)-1,0)</f>
        <v>7.6</v>
      </c>
      <c r="F38" s="31">
        <f ca="1">11.9*OFFSET(F$112,MATCH($N$1,$C$112:$C$113,0)-1,0)</f>
        <v>11.9</v>
      </c>
      <c r="G38" s="31">
        <f ca="1">5*OFFSET(G$112,MATCH($N$1,$C$112:$C$113,0)-1,0)</f>
        <v>5</v>
      </c>
      <c r="H38" s="31">
        <f ca="1">8.8*OFFSET(H$112,MATCH($N$1,$C$112:$C$113,0)-1,0)</f>
        <v>8.8000000000000007</v>
      </c>
      <c r="I38" s="31">
        <f ca="1">6.9*OFFSET(I$112,MATCH($N$1,$C$112:$C$113,0)-1,0)</f>
        <v>6.9</v>
      </c>
      <c r="J38" s="31">
        <f ca="1">7*OFFSET(J$112,MATCH($N$1,$C$112:$C$113,0)-1,0)</f>
        <v>7</v>
      </c>
      <c r="K38" s="31">
        <f ca="1">10.8*OFFSET(K$112,MATCH($N$1,$C$112:$C$113,0)-1,0)</f>
        <v>10.8</v>
      </c>
      <c r="L38" s="31">
        <f ca="1">5.8*OFFSET(L$112,MATCH($N$1,$C$112:$C$113,0)-1,0)</f>
        <v>5.8</v>
      </c>
      <c r="M38" s="31">
        <f ca="1">7.1*OFFSET(M$112,MATCH($N$1,$C$112:$C$113,0)-1,0)</f>
        <v>7.1</v>
      </c>
      <c r="N38" s="31"/>
      <c r="O38" s="28" t="str">
        <f t="shared" si="0"/>
        <v/>
      </c>
      <c r="P38" s="28" t="str">
        <f t="shared" si="1"/>
        <v/>
      </c>
    </row>
    <row r="39" spans="1:16" ht="18" customHeight="1">
      <c r="A39" s="178"/>
      <c r="B39" s="35" t="s">
        <v>214</v>
      </c>
      <c r="C39" s="31"/>
      <c r="D39" s="31">
        <f ca="1">3*OFFSET(D$112,MATCH($N$1,$C$112:$C$113,0)-1,0)</f>
        <v>3</v>
      </c>
      <c r="E39" s="31">
        <f ca="1">6.4*OFFSET(E$112,MATCH($N$1,$C$112:$C$113,0)-1,0)</f>
        <v>6.4</v>
      </c>
      <c r="F39" s="31">
        <f ca="1">2.9*OFFSET(F$112,MATCH($N$1,$C$112:$C$113,0)-1,0)</f>
        <v>2.9</v>
      </c>
      <c r="G39" s="31">
        <f ca="1">1.6*OFFSET(G$112,MATCH($N$1,$C$112:$C$113,0)-1,0)</f>
        <v>1.6</v>
      </c>
      <c r="H39" s="31">
        <f ca="1">2.4*OFFSET(H$112,MATCH($N$1,$C$112:$C$113,0)-1,0)</f>
        <v>2.4</v>
      </c>
      <c r="I39" s="31">
        <f ca="1">2.2*OFFSET(I$112,MATCH($N$1,$C$112:$C$113,0)-1,0)</f>
        <v>2.2000000000000002</v>
      </c>
      <c r="J39" s="31">
        <f ca="1">1.5*OFFSET(J$112,MATCH($N$1,$C$112:$C$113,0)-1,0)</f>
        <v>1.5</v>
      </c>
      <c r="K39" s="31">
        <f ca="1">1.5*OFFSET(K$112,MATCH($N$1,$C$112:$C$113,0)-1,0)</f>
        <v>1.5</v>
      </c>
      <c r="L39" s="31">
        <f ca="1">0.6*OFFSET(L$112,MATCH($N$1,$C$112:$C$113,0)-1,0)</f>
        <v>0.6</v>
      </c>
      <c r="M39" s="31">
        <f ca="1">0.8*OFFSET(M$112,MATCH($N$1,$C$112:$C$113,0)-1,0)</f>
        <v>0.8</v>
      </c>
      <c r="N39" s="31"/>
      <c r="O39" s="28" t="str">
        <f t="shared" si="0"/>
        <v/>
      </c>
      <c r="P39" s="28" t="str">
        <f t="shared" si="1"/>
        <v/>
      </c>
    </row>
    <row r="40" spans="1:16" ht="18" customHeight="1">
      <c r="A40" s="178"/>
      <c r="B40" s="35" t="s">
        <v>215</v>
      </c>
      <c r="C40" s="31"/>
      <c r="D40" s="31">
        <f ca="1">0.2*OFFSET(D$112,MATCH($N$1,$C$112:$C$113,0)-1,0)</f>
        <v>0.2</v>
      </c>
      <c r="E40" s="31">
        <f ca="1">1*OFFSET(E$112,MATCH($N$1,$C$112:$C$113,0)-1,0)</f>
        <v>1</v>
      </c>
      <c r="F40" s="31">
        <f ca="1">0.4*OFFSET(F$112,MATCH($N$1,$C$112:$C$113,0)-1,0)</f>
        <v>0.4</v>
      </c>
      <c r="G40" s="31">
        <f ca="1">4.5*OFFSET(G$112,MATCH($N$1,$C$112:$C$113,0)-1,0)</f>
        <v>4.5</v>
      </c>
      <c r="H40" s="31">
        <f ca="1">2*OFFSET(H$112,MATCH($N$1,$C$112:$C$113,0)-1,0)</f>
        <v>2</v>
      </c>
      <c r="I40" s="31">
        <f ca="1">2.1*OFFSET(I$112,MATCH($N$1,$C$112:$C$113,0)-1,0)</f>
        <v>2.1</v>
      </c>
      <c r="J40" s="31">
        <f ca="1">1.4*OFFSET(J$112,MATCH($N$1,$C$112:$C$113,0)-1,0)</f>
        <v>1.4</v>
      </c>
      <c r="K40" s="31">
        <f ca="1">20.6*OFFSET(K$112,MATCH($N$1,$C$112:$C$113,0)-1,0)</f>
        <v>20.6</v>
      </c>
      <c r="L40" s="31">
        <f ca="1">0.5*OFFSET(L$112,MATCH($N$1,$C$112:$C$113,0)-1,0)</f>
        <v>0.5</v>
      </c>
      <c r="M40" s="31">
        <f ca="1">0.7*OFFSET(M$112,MATCH($N$1,$C$112:$C$113,0)-1,0)</f>
        <v>0.7</v>
      </c>
      <c r="N40" s="31"/>
      <c r="O40" s="28" t="str">
        <f t="shared" si="0"/>
        <v/>
      </c>
      <c r="P40" s="28" t="str">
        <f t="shared" si="1"/>
        <v/>
      </c>
    </row>
    <row r="41" spans="1:16" ht="18" customHeight="1" thickBot="1">
      <c r="A41" s="179"/>
      <c r="B41" s="42" t="s">
        <v>216</v>
      </c>
      <c r="C41" s="43"/>
      <c r="D41" s="43">
        <f ca="1">-10.3*OFFSET(D$112,MATCH($N$1,$C$112:$C$113,0)-1,0)</f>
        <v>-10.3</v>
      </c>
      <c r="E41" s="43">
        <f ca="1">32.9*OFFSET(E$112,MATCH($N$1,$C$112:$C$113,0)-1,0)</f>
        <v>32.9</v>
      </c>
      <c r="F41" s="43">
        <f ca="1">19*OFFSET(F$112,MATCH($N$1,$C$112:$C$113,0)-1,0)</f>
        <v>19</v>
      </c>
      <c r="G41" s="43">
        <f ca="1">2*OFFSET(G$112,MATCH($N$1,$C$112:$C$113,0)-1,0)</f>
        <v>2</v>
      </c>
      <c r="H41" s="43">
        <f ca="1">10.5*OFFSET(H$112,MATCH($N$1,$C$112:$C$113,0)-1,0)</f>
        <v>10.5</v>
      </c>
      <c r="I41" s="43">
        <f ca="1">-0.7*OFFSET(I$112,MATCH($N$1,$C$112:$C$113,0)-1,0)</f>
        <v>-0.7</v>
      </c>
      <c r="J41" s="43">
        <f ca="1">25.6*OFFSET(J$112,MATCH($N$1,$C$112:$C$113,0)-1,0)</f>
        <v>25.6</v>
      </c>
      <c r="K41" s="43">
        <f ca="1">1.2*OFFSET(K$112,MATCH($N$1,$C$112:$C$113,0)-1,0)</f>
        <v>1.2</v>
      </c>
      <c r="L41" s="43">
        <f ca="1">10.4*OFFSET(L$112,MATCH($N$1,$C$112:$C$113,0)-1,0)</f>
        <v>10.4</v>
      </c>
      <c r="M41" s="43">
        <f ca="1">-12.5*OFFSET(M$112,MATCH($N$1,$C$112:$C$113,0)-1,0)</f>
        <v>-12.5</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176</v>
      </c>
      <c r="F46" s="90" t="s">
        <v>163</v>
      </c>
      <c r="G46" s="90" t="s">
        <v>163</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North Sea nephrops under 300kW</v>
      </c>
      <c r="B48" s="202"/>
      <c r="C48" s="92"/>
      <c r="D48" s="92"/>
      <c r="E48" s="92"/>
      <c r="F48" s="92"/>
      <c r="G48" s="92"/>
      <c r="H48" s="202"/>
      <c r="I48" s="202"/>
      <c r="J48" s="202"/>
      <c r="K48" s="92" t="str">
        <f>$B24&amp;CHAR(10)&amp;$A$1</f>
        <v>Operating profit per kW day at sea (£)
North Sea nephrops under 300kW</v>
      </c>
      <c r="L48" s="202"/>
      <c r="M48" s="202"/>
      <c r="N48" s="202"/>
      <c r="O48" s="202"/>
      <c r="P48" s="202"/>
    </row>
    <row r="49" spans="1:11" s="80" customFormat="1">
      <c r="A49" s="92" t="str">
        <f>$B22&amp;CHAR(10)&amp;$A$1</f>
        <v>Fishing income per kW day at sea (£)
North Sea nephrops under 300kW</v>
      </c>
      <c r="B49" s="202"/>
      <c r="C49" s="202"/>
      <c r="D49" s="202"/>
      <c r="E49" s="202"/>
      <c r="F49" s="202"/>
      <c r="G49" s="202"/>
      <c r="H49" s="202"/>
      <c r="I49" s="202"/>
      <c r="J49" s="202"/>
      <c r="K49" s="202"/>
    </row>
    <row r="50" spans="1:11" s="80" customFormat="1">
      <c r="A50" s="92" t="str">
        <f>$B20&amp;CHAR(10)&amp;$A$1</f>
        <v>Average price per tonne landed (£)
North Sea nephrops under 300kW</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North Sea nephrops under 300kW</v>
      </c>
      <c r="C62" s="202"/>
      <c r="D62" s="202"/>
      <c r="E62" s="202"/>
      <c r="F62" s="92" t="str">
        <f>$B20&amp;CHAR(10)&amp;$A$1</f>
        <v>Average price per tonne landed (£)
North Sea nephrops under 300kW</v>
      </c>
      <c r="G62" s="202"/>
      <c r="H62" s="202"/>
      <c r="I62" s="202"/>
      <c r="J62" s="202"/>
      <c r="K62" s="92" t="str">
        <f>"Average annual operating profit per vessel (£'000)"&amp;CHAR(10)&amp;$A$1</f>
        <v>Average annual operating profit per vessel (£'000)
North Sea nephrops under 300kW</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North Sea nephrops under 300kW</v>
      </c>
      <c r="F76" s="92" t="str">
        <f>"Top 5 landed species by value in "&amp;A77&amp;CHAR(10)&amp;A1</f>
        <v>Top 5 landed species by value in 2019
North Sea nephrops under 300kW</v>
      </c>
    </row>
    <row r="77" spans="1:11" s="92" customFormat="1">
      <c r="A77" s="92">
        <v>2019</v>
      </c>
      <c r="B77" s="92" t="s">
        <v>429</v>
      </c>
      <c r="C77" s="93">
        <v>0.70519035190146284</v>
      </c>
      <c r="D77" s="94">
        <v>12153634</v>
      </c>
      <c r="G77" s="92" t="s">
        <v>430</v>
      </c>
      <c r="H77" s="93">
        <v>0.87244954441968259</v>
      </c>
      <c r="I77" s="94">
        <v>12153634</v>
      </c>
      <c r="K77" s="92" t="s">
        <v>230</v>
      </c>
    </row>
    <row r="78" spans="1:11" s="92" customFormat="1">
      <c r="B78" s="92" t="s">
        <v>431</v>
      </c>
      <c r="C78" s="93">
        <v>0.14388266321119819</v>
      </c>
      <c r="D78" s="94">
        <v>3689192</v>
      </c>
      <c r="G78" s="92" t="s">
        <v>432</v>
      </c>
      <c r="H78" s="93">
        <v>1.8830774705144313E-2</v>
      </c>
      <c r="I78" s="94">
        <v>553960</v>
      </c>
    </row>
    <row r="79" spans="1:11" s="92" customFormat="1">
      <c r="B79" s="92" t="s">
        <v>433</v>
      </c>
      <c r="C79" s="93">
        <v>3.8883156204716704E-2</v>
      </c>
      <c r="D79" s="94">
        <v>1692097</v>
      </c>
      <c r="G79" s="92" t="s">
        <v>434</v>
      </c>
      <c r="H79" s="93">
        <v>1.7368997093559622E-2</v>
      </c>
      <c r="I79" s="94">
        <v>3050596</v>
      </c>
    </row>
    <row r="80" spans="1:11" s="92" customFormat="1">
      <c r="B80" s="92" t="s">
        <v>435</v>
      </c>
      <c r="C80" s="93">
        <v>3.634072032695454E-2</v>
      </c>
      <c r="D80" s="94">
        <v>11115023</v>
      </c>
      <c r="G80" s="92" t="s">
        <v>436</v>
      </c>
      <c r="H80" s="93">
        <v>1.6403995011800645E-2</v>
      </c>
      <c r="I80" s="94">
        <v>1692097</v>
      </c>
    </row>
    <row r="81" spans="1:19" s="92" customFormat="1">
      <c r="B81" s="92" t="s">
        <v>437</v>
      </c>
      <c r="C81" s="93">
        <v>1.5393579822635615E-2</v>
      </c>
      <c r="D81" s="94">
        <v>553960</v>
      </c>
      <c r="G81" s="92" t="s">
        <v>438</v>
      </c>
      <c r="H81" s="93">
        <v>1.6284810299211739E-2</v>
      </c>
      <c r="I81" s="94">
        <v>3689192</v>
      </c>
    </row>
    <row r="82" spans="1:19" s="92" customFormat="1">
      <c r="B82" s="92" t="s">
        <v>295</v>
      </c>
      <c r="C82" s="93">
        <v>6.0309528533032064E-2</v>
      </c>
      <c r="D82" s="94">
        <v>5920853</v>
      </c>
      <c r="G82" s="92" t="s">
        <v>439</v>
      </c>
      <c r="H82" s="93">
        <v>5.8661878470601114E-2</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160</v>
      </c>
      <c r="D92" s="98">
        <v>0.84384876415724119</v>
      </c>
      <c r="E92" s="98">
        <v>0.87436892125458099</v>
      </c>
      <c r="F92" s="98">
        <v>0.86746253934379847</v>
      </c>
      <c r="G92" s="98">
        <v>0.84242194081927868</v>
      </c>
      <c r="H92" s="98">
        <v>0.87395733269264164</v>
      </c>
      <c r="I92" s="98">
        <v>0.81288988720656163</v>
      </c>
      <c r="J92" s="98">
        <v>0.80573828944318304</v>
      </c>
      <c r="K92" s="98">
        <v>0.84907205540570596</v>
      </c>
      <c r="L92" s="98">
        <v>0.87244954441968259</v>
      </c>
      <c r="M92" s="98">
        <v>0.85197915266666724</v>
      </c>
      <c r="O92" s="92">
        <v>12153634</v>
      </c>
    </row>
    <row r="93" spans="1:19" s="92" customFormat="1" hidden="1">
      <c r="B93" s="92">
        <v>2</v>
      </c>
      <c r="C93" s="92" t="s">
        <v>169</v>
      </c>
      <c r="D93" s="98">
        <v>2.1161621932543555E-2</v>
      </c>
      <c r="E93" s="98">
        <v>1.4565380742687284E-2</v>
      </c>
      <c r="F93" s="98">
        <v>1.6965028622457728E-2</v>
      </c>
      <c r="G93" s="98">
        <v>2.4365318977610517E-2</v>
      </c>
      <c r="H93" s="98">
        <v>1.8420947575077187E-2</v>
      </c>
      <c r="I93" s="98">
        <v>4.4875522437971153E-2</v>
      </c>
      <c r="J93" s="98">
        <v>2.5445165431348768E-2</v>
      </c>
      <c r="K93" s="98">
        <v>2.4877213574446874E-2</v>
      </c>
      <c r="L93" s="98">
        <v>1.8830774705144313E-2</v>
      </c>
      <c r="M93" s="98">
        <v>2.3835276157410958E-2</v>
      </c>
      <c r="O93" s="92">
        <v>553960</v>
      </c>
    </row>
    <row r="94" spans="1:19" s="92" customFormat="1" hidden="1">
      <c r="B94" s="92">
        <v>3</v>
      </c>
      <c r="C94" s="92" t="s">
        <v>161</v>
      </c>
      <c r="D94" s="98">
        <v>2.7526125081215221E-2</v>
      </c>
      <c r="E94" s="98">
        <v>1.8643631403942436E-2</v>
      </c>
      <c r="F94" s="98">
        <v>1.9045899694926212E-2</v>
      </c>
      <c r="G94" s="98">
        <v>2.3814822468433239E-2</v>
      </c>
      <c r="H94" s="98">
        <v>3.2214785011503863E-2</v>
      </c>
      <c r="I94" s="98">
        <v>3.7520450482049147E-2</v>
      </c>
      <c r="J94" s="98">
        <v>2.9055101222549142E-2</v>
      </c>
      <c r="K94" s="98">
        <v>2.4434976943989287E-2</v>
      </c>
      <c r="L94" s="98">
        <v>1.7368997093559622E-2</v>
      </c>
      <c r="M94" s="98">
        <v>3.7819485623861018E-2</v>
      </c>
      <c r="O94" s="92">
        <v>3050596</v>
      </c>
    </row>
    <row r="95" spans="1:19" s="92" customFormat="1" hidden="1">
      <c r="B95" s="92">
        <v>4</v>
      </c>
      <c r="C95" s="92" t="s">
        <v>157</v>
      </c>
      <c r="D95" s="98">
        <v>2.8679695269265858E-2</v>
      </c>
      <c r="E95" s="98">
        <v>2.5370738124818683E-2</v>
      </c>
      <c r="F95" s="98">
        <v>2.3075835593973661E-2</v>
      </c>
      <c r="G95" s="98">
        <v>4.4402761661023596E-2</v>
      </c>
      <c r="H95" s="98">
        <v>1.1199211404180936E-2</v>
      </c>
      <c r="I95" s="98">
        <v>3.0224933323922613E-2</v>
      </c>
      <c r="J95" s="98">
        <v>2.8458059575261315E-2</v>
      </c>
      <c r="K95" s="98">
        <v>2.453333940729438E-2</v>
      </c>
      <c r="L95" s="98">
        <v>1.6403995011800645E-2</v>
      </c>
      <c r="M95" s="98">
        <v>2.1372866531635264E-2</v>
      </c>
      <c r="O95" s="92">
        <v>1692097</v>
      </c>
    </row>
    <row r="96" spans="1:19" s="92" customFormat="1" hidden="1">
      <c r="B96" s="92">
        <v>5</v>
      </c>
      <c r="C96" s="92" t="s">
        <v>328</v>
      </c>
      <c r="D96" s="98"/>
      <c r="E96" s="98"/>
      <c r="F96" s="98"/>
      <c r="G96" s="98"/>
      <c r="H96" s="98"/>
      <c r="I96" s="98"/>
      <c r="J96" s="98"/>
      <c r="K96" s="98"/>
      <c r="L96" s="98">
        <v>1.6284810299211739E-2</v>
      </c>
      <c r="M96" s="98"/>
      <c r="O96" s="92">
        <v>3689192</v>
      </c>
    </row>
    <row r="97" spans="1:15" s="92" customFormat="1" hidden="1">
      <c r="B97" s="92">
        <v>6</v>
      </c>
      <c r="C97" s="92" t="s">
        <v>241</v>
      </c>
      <c r="D97" s="98"/>
      <c r="E97" s="98"/>
      <c r="F97" s="98"/>
      <c r="G97" s="98"/>
      <c r="H97" s="98"/>
      <c r="I97" s="98"/>
      <c r="J97" s="98"/>
      <c r="K97" s="98"/>
      <c r="L97" s="98"/>
      <c r="M97" s="98">
        <v>1.3409157142157008E-2</v>
      </c>
      <c r="O97" s="92">
        <v>11115023</v>
      </c>
    </row>
    <row r="98" spans="1:15" s="92" customFormat="1" hidden="1">
      <c r="B98" s="92">
        <v>7</v>
      </c>
      <c r="C98" s="92" t="s">
        <v>169</v>
      </c>
      <c r="D98" s="98"/>
      <c r="E98" s="98"/>
      <c r="F98" s="98"/>
      <c r="G98" s="98"/>
      <c r="H98" s="98"/>
      <c r="I98" s="98"/>
      <c r="J98" s="98">
        <v>3.8196043988425236E-2</v>
      </c>
      <c r="K98" s="98">
        <v>2.450219798189587E-2</v>
      </c>
      <c r="L98" s="98"/>
      <c r="M98" s="98"/>
      <c r="O98" s="92">
        <v>2480382</v>
      </c>
    </row>
    <row r="99" spans="1:15" s="92" customFormat="1" hidden="1">
      <c r="B99" s="92">
        <v>8</v>
      </c>
      <c r="C99" s="92" t="s">
        <v>329</v>
      </c>
      <c r="D99" s="98">
        <v>2.0046652435126124E-2</v>
      </c>
      <c r="E99" s="98">
        <v>2.0054456675116326E-2</v>
      </c>
      <c r="F99" s="98">
        <v>2.3011969737738051E-2</v>
      </c>
      <c r="G99" s="98">
        <v>2.0842069134997244E-2</v>
      </c>
      <c r="H99" s="98">
        <v>2.0350078598338549E-2</v>
      </c>
      <c r="I99" s="98">
        <v>1.9331318118683376E-2</v>
      </c>
      <c r="J99" s="98"/>
      <c r="K99" s="98"/>
      <c r="L99" s="98"/>
      <c r="M99" s="98"/>
      <c r="O99" s="92">
        <v>7434864</v>
      </c>
    </row>
    <row r="100" spans="1:15" s="92" customFormat="1" hidden="1">
      <c r="B100" s="92">
        <v>9</v>
      </c>
      <c r="C100" s="92" t="s">
        <v>245</v>
      </c>
      <c r="D100" s="98">
        <v>5.8737141124608101E-2</v>
      </c>
      <c r="E100" s="98">
        <v>4.6996871798854305E-2</v>
      </c>
      <c r="F100" s="98">
        <v>5.0438727007105895E-2</v>
      </c>
      <c r="G100" s="98">
        <v>4.4153086938656765E-2</v>
      </c>
      <c r="H100" s="98">
        <v>4.3857644718257843E-2</v>
      </c>
      <c r="I100" s="98">
        <v>5.5157888430812096E-2</v>
      </c>
      <c r="J100" s="98">
        <v>7.3107340339232496E-2</v>
      </c>
      <c r="K100" s="98">
        <v>5.2580216686667645E-2</v>
      </c>
      <c r="L100" s="98">
        <v>5.8661878470601073E-2</v>
      </c>
      <c r="M100" s="98">
        <v>5.1584061878268486E-2</v>
      </c>
      <c r="O100" s="92">
        <v>5920853</v>
      </c>
    </row>
    <row r="101" spans="1:15" s="92" customFormat="1" hidden="1">
      <c r="B101" s="92">
        <v>10</v>
      </c>
      <c r="D101" s="98"/>
      <c r="E101" s="98"/>
      <c r="F101" s="98"/>
      <c r="G101" s="98"/>
      <c r="H101" s="98"/>
      <c r="I101" s="98"/>
      <c r="J101" s="98"/>
      <c r="K101" s="98"/>
      <c r="L101" s="98"/>
      <c r="M101" s="98"/>
      <c r="O101" s="92">
        <v>14393110</v>
      </c>
    </row>
    <row r="102" spans="1:15" s="92" customFormat="1" hidden="1">
      <c r="B102" s="92">
        <v>11</v>
      </c>
      <c r="D102" s="98"/>
      <c r="E102" s="98"/>
      <c r="F102" s="98"/>
      <c r="G102" s="98"/>
      <c r="H102" s="98"/>
      <c r="I102" s="98"/>
      <c r="J102" s="98"/>
      <c r="K102" s="98"/>
      <c r="L102" s="98"/>
      <c r="M102" s="98"/>
      <c r="O102" s="92">
        <v>2887140</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10</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16</v>
      </c>
      <c r="D120" s="54">
        <v>33</v>
      </c>
      <c r="E120" s="54">
        <v>16</v>
      </c>
      <c r="F120" s="55">
        <v>65</v>
      </c>
    </row>
    <row r="121" spans="1:15" ht="18" customHeight="1">
      <c r="A121" s="173" t="s">
        <v>191</v>
      </c>
      <c r="B121" s="33" t="s">
        <v>192</v>
      </c>
      <c r="C121" s="56">
        <v>13.404375076293945</v>
      </c>
      <c r="D121" s="56">
        <v>13.907878991329309</v>
      </c>
      <c r="E121" s="56">
        <v>15.313750267028809</v>
      </c>
      <c r="F121" s="57">
        <v>14.130000114440918</v>
      </c>
      <c r="G121" s="206"/>
      <c r="H121" s="206"/>
      <c r="I121" s="206"/>
      <c r="J121" s="206"/>
      <c r="K121" s="206"/>
      <c r="L121" s="206"/>
      <c r="M121" s="206"/>
      <c r="N121" s="206"/>
      <c r="O121" s="206"/>
    </row>
    <row r="122" spans="1:15" ht="18" customHeight="1">
      <c r="A122" s="174"/>
      <c r="B122" s="35" t="s">
        <v>184</v>
      </c>
      <c r="C122" s="58">
        <v>178.125</v>
      </c>
      <c r="D122" s="58">
        <v>166.60605690696022</v>
      </c>
      <c r="E122" s="58">
        <v>197.125</v>
      </c>
      <c r="F122" s="59">
        <v>176.95384216308594</v>
      </c>
      <c r="G122" s="206"/>
      <c r="H122" s="206"/>
      <c r="I122" s="206"/>
      <c r="J122" s="206"/>
      <c r="K122" s="206"/>
      <c r="L122" s="206"/>
      <c r="M122" s="206"/>
      <c r="N122" s="206"/>
      <c r="O122" s="206"/>
    </row>
    <row r="123" spans="1:15" ht="18" customHeight="1">
      <c r="A123" s="174"/>
      <c r="B123" s="35" t="s">
        <v>185</v>
      </c>
      <c r="C123" s="58">
        <v>40.125</v>
      </c>
      <c r="D123" s="58">
        <v>34.36363578565193</v>
      </c>
      <c r="E123" s="58">
        <v>45.8125</v>
      </c>
      <c r="F123" s="59">
        <v>38.599998474121094</v>
      </c>
      <c r="G123" s="206"/>
      <c r="H123" s="206"/>
      <c r="I123" s="206"/>
      <c r="J123" s="206"/>
      <c r="K123" s="206"/>
      <c r="L123" s="206"/>
      <c r="M123" s="206"/>
      <c r="N123" s="206"/>
      <c r="O123" s="206"/>
    </row>
    <row r="124" spans="1:15" ht="18" customHeight="1">
      <c r="A124" s="174"/>
      <c r="B124" s="35" t="s">
        <v>186</v>
      </c>
      <c r="C124" s="58">
        <v>148.52639770507813</v>
      </c>
      <c r="D124" s="58">
        <v>145.25054931640625</v>
      </c>
      <c r="E124" s="58">
        <v>169.64598083496094</v>
      </c>
      <c r="F124" s="59">
        <v>152.06193542480469</v>
      </c>
      <c r="G124" s="206"/>
      <c r="H124" s="206"/>
      <c r="I124" s="206"/>
      <c r="J124" s="206"/>
      <c r="K124" s="206"/>
      <c r="L124" s="206"/>
      <c r="M124" s="206"/>
      <c r="N124" s="206"/>
      <c r="O124" s="206"/>
    </row>
    <row r="125" spans="1:15" ht="18" customHeight="1">
      <c r="A125" s="174"/>
      <c r="B125" s="35" t="s">
        <v>187</v>
      </c>
      <c r="C125" s="31">
        <v>146.65040588378906</v>
      </c>
      <c r="D125" s="31">
        <v>58.625312689578891</v>
      </c>
      <c r="E125" s="31">
        <v>53.012950897216797</v>
      </c>
      <c r="F125" s="60">
        <v>78.911521911621094</v>
      </c>
      <c r="G125" s="206"/>
      <c r="H125" s="206"/>
      <c r="I125" s="206"/>
      <c r="J125" s="206"/>
      <c r="K125" s="206"/>
      <c r="L125" s="206"/>
      <c r="M125" s="206"/>
      <c r="N125" s="206"/>
      <c r="O125" s="206"/>
    </row>
    <row r="126" spans="1:15" ht="18" customHeight="1">
      <c r="A126" s="174"/>
      <c r="B126" s="35" t="s">
        <v>193</v>
      </c>
      <c r="C126" s="31">
        <f ca="1">308.3775*OFFSET($L$112,MATCH($N$1,$C$112:$C$113,0)-1,0)</f>
        <v>308.3775</v>
      </c>
      <c r="D126" s="31">
        <f ca="1">174.698329545455*OFFSET($L$112,MATCH($N$1,$C$112:$C$113,0)-1,0)</f>
        <v>174.69832954545501</v>
      </c>
      <c r="E126" s="31">
        <f ca="1">156.440046875*OFFSET($L$112,MATCH($N$1,$C$112:$C$113,0)-1,0)</f>
        <v>156.44004687500001</v>
      </c>
      <c r="F126" s="60">
        <f ca="1">203.109625*OFFSET($L$112,MATCH($N$1,$C$112:$C$113,0)-1,0)</f>
        <v>203.10962499999999</v>
      </c>
      <c r="G126" s="206"/>
      <c r="H126" s="206"/>
      <c r="I126" s="206"/>
      <c r="J126" s="206"/>
      <c r="K126" s="206"/>
      <c r="L126" s="206"/>
      <c r="M126" s="206"/>
      <c r="N126" s="206"/>
      <c r="O126" s="206"/>
    </row>
    <row r="127" spans="1:15" ht="18" customHeight="1">
      <c r="A127" s="174"/>
      <c r="B127" s="35" t="s">
        <v>189</v>
      </c>
      <c r="C127" s="58">
        <v>133.3125</v>
      </c>
      <c r="D127" s="58">
        <v>112.24242354884292</v>
      </c>
      <c r="E127" s="58">
        <v>141.75</v>
      </c>
      <c r="F127" s="59">
        <v>124.69230651855469</v>
      </c>
      <c r="G127" s="206"/>
      <c r="H127" s="206"/>
      <c r="I127" s="206"/>
      <c r="J127" s="206"/>
      <c r="K127" s="206"/>
      <c r="L127" s="206"/>
      <c r="M127" s="206"/>
      <c r="N127" s="206"/>
      <c r="O127" s="206"/>
    </row>
    <row r="128" spans="1:15" ht="18" customHeight="1">
      <c r="A128" s="174"/>
      <c r="B128" s="35" t="s">
        <v>194</v>
      </c>
      <c r="C128" s="58">
        <v>36.5625</v>
      </c>
      <c r="D128" s="58">
        <v>42.121211312033914</v>
      </c>
      <c r="E128" s="58">
        <v>42.5625</v>
      </c>
      <c r="F128" s="59">
        <v>40.861537933349609</v>
      </c>
      <c r="G128" s="206"/>
      <c r="H128" s="206"/>
      <c r="I128" s="206"/>
      <c r="J128" s="206"/>
      <c r="K128" s="206"/>
      <c r="L128" s="206"/>
      <c r="M128" s="206"/>
      <c r="N128" s="206"/>
      <c r="O128" s="206"/>
    </row>
    <row r="129" spans="1:15" ht="18" customHeight="1">
      <c r="A129" s="174"/>
      <c r="B129" s="35" t="s">
        <v>195</v>
      </c>
      <c r="C129" s="61">
        <v>1.1000499725341797</v>
      </c>
      <c r="D129" s="61">
        <v>0.52230975451156181</v>
      </c>
      <c r="E129" s="61">
        <v>0.37398907542228699</v>
      </c>
      <c r="F129" s="62">
        <v>0.63284999132156372</v>
      </c>
      <c r="G129" s="206"/>
      <c r="H129" s="206"/>
      <c r="I129" s="206"/>
      <c r="J129" s="206"/>
      <c r="K129" s="206"/>
      <c r="L129" s="206"/>
      <c r="M129" s="206"/>
      <c r="N129" s="206"/>
      <c r="O129" s="206"/>
    </row>
    <row r="130" spans="1:15" ht="18" customHeight="1">
      <c r="A130" s="175"/>
      <c r="B130" s="37" t="s">
        <v>196</v>
      </c>
      <c r="C130" s="38">
        <f ca="1">2102.80699969129*OFFSET($L$112,MATCH($N$1,$C$112:$C$113,0)-1,0)</f>
        <v>2102.80699969129</v>
      </c>
      <c r="D130" s="38">
        <f ca="1">2979.9129681488*OFFSET($L$112,MATCH($N$1,$C$112:$C$113,0)-1,0)</f>
        <v>2979.9129681487998</v>
      </c>
      <c r="E130" s="38">
        <f ca="1">2950.97790685734*OFFSET($L$112,MATCH($N$1,$C$112:$C$113,0)-1,0)</f>
        <v>2950.9779068573398</v>
      </c>
      <c r="F130" s="63">
        <f ca="1">2574*OFFSET($L$112,MATCH($N$1,$C$112:$C$113,0)-1,0)</f>
        <v>2574</v>
      </c>
      <c r="G130" s="206"/>
      <c r="H130" s="206"/>
      <c r="I130" s="206"/>
      <c r="J130" s="206"/>
      <c r="K130" s="206"/>
      <c r="L130" s="206"/>
      <c r="M130" s="206"/>
      <c r="N130" s="206"/>
      <c r="O130" s="206"/>
    </row>
    <row r="131" spans="1:15" ht="18" customHeight="1">
      <c r="A131" s="184" t="s">
        <v>197</v>
      </c>
      <c r="B131" s="33" t="s">
        <v>198</v>
      </c>
      <c r="C131" s="64">
        <v>5.7156099592732854</v>
      </c>
      <c r="D131" s="64">
        <v>2.9244241936647319</v>
      </c>
      <c r="E131" s="64">
        <v>1.9285808484034404</v>
      </c>
      <c r="F131" s="65">
        <v>3.3926317816088818</v>
      </c>
      <c r="G131" s="206"/>
      <c r="H131" s="206"/>
      <c r="I131" s="206"/>
      <c r="J131" s="206"/>
      <c r="K131" s="206"/>
      <c r="L131" s="206"/>
      <c r="M131" s="206"/>
      <c r="N131" s="206"/>
      <c r="O131" s="206"/>
    </row>
    <row r="132" spans="1:15" ht="18" customHeight="1">
      <c r="A132" s="185"/>
      <c r="B132" s="35" t="s">
        <v>199</v>
      </c>
      <c r="C132" s="61">
        <f ca="1">12.0188246298651*OFFSET($L$112,MATCH($N$1,$C$112:$C$113,0)-1,0)</f>
        <v>12.018824629865099</v>
      </c>
      <c r="D132" s="61">
        <f ca="1">8.71452957906963*OFFSET($L$112,MATCH($N$1,$C$112:$C$113,0)-1,0)</f>
        <v>8.7145295790696302</v>
      </c>
      <c r="E132" s="61">
        <f ca="1">5.69119947522675*OFFSET($L$112,MATCH($N$1,$C$112:$C$113,0)-1,0)</f>
        <v>5.6911994752267496</v>
      </c>
      <c r="F132" s="62">
        <f ca="1">8.73226307429997*OFFSET($L$112,MATCH($N$1,$C$112:$C$113,0)-1,0)</f>
        <v>8.7322630742999703</v>
      </c>
      <c r="G132" s="206"/>
      <c r="H132" s="206"/>
      <c r="I132" s="206"/>
      <c r="J132" s="206"/>
      <c r="K132" s="206"/>
      <c r="L132" s="206"/>
      <c r="M132" s="206"/>
      <c r="N132" s="206"/>
      <c r="O132" s="206"/>
    </row>
    <row r="133" spans="1:15" ht="18" customHeight="1">
      <c r="A133" s="185"/>
      <c r="B133" s="35" t="s">
        <v>154</v>
      </c>
      <c r="C133" s="61">
        <f ca="1">10.9827305396004*OFFSET($L$112,MATCH($N$1,$C$112:$C$113,0)-1,0)</f>
        <v>10.9827305396004</v>
      </c>
      <c r="D133" s="61">
        <f ca="1">8.93880431560831*OFFSET($L$112,MATCH($N$1,$C$112:$C$113,0)-1,0)</f>
        <v>8.9388043156083103</v>
      </c>
      <c r="E133" s="61">
        <f ca="1">6.89901866492045*OFFSET($L$112,MATCH($N$1,$C$112:$C$113,0)-1,0)</f>
        <v>6.8990186649204501</v>
      </c>
      <c r="F133" s="62">
        <f ca="1">8.90042056586829*OFFSET($L$112,MATCH($N$1,$C$112:$C$113,0)-1,0)</f>
        <v>8.9004205658682896</v>
      </c>
      <c r="G133" s="206"/>
      <c r="H133" s="206"/>
      <c r="I133" s="206"/>
      <c r="J133" s="206"/>
      <c r="K133" s="206"/>
      <c r="L133" s="206"/>
      <c r="M133" s="206"/>
      <c r="N133" s="206"/>
      <c r="O133" s="206"/>
    </row>
    <row r="134" spans="1:15" ht="18" customHeight="1">
      <c r="A134" s="186"/>
      <c r="B134" s="37" t="s">
        <v>155</v>
      </c>
      <c r="C134" s="66">
        <f ca="1">1.03609409026468*OFFSET($L$112,MATCH($N$1,$C$112:$C$113,0)-1,0)</f>
        <v>1.03609409026468</v>
      </c>
      <c r="D134" s="66">
        <f ca="1">-0.224274736538679*OFFSET($L$112,MATCH($N$1,$C$112:$C$113,0)-1,0)</f>
        <v>-0.22427473653867899</v>
      </c>
      <c r="E134" s="66">
        <f ca="1">-1.20781918969371*OFFSET($L$112,MATCH($N$1,$C$112:$C$113,0)-1,0)</f>
        <v>-1.20781918969371</v>
      </c>
      <c r="F134" s="67">
        <f ca="1">-0.16815749156832*OFFSET($L$112,MATCH($N$1,$C$112:$C$113,0)-1,0)</f>
        <v>-0.16815749156831999</v>
      </c>
      <c r="G134" s="206"/>
      <c r="H134" s="206"/>
      <c r="I134" s="206"/>
      <c r="J134" s="206"/>
      <c r="K134" s="206"/>
      <c r="L134" s="206"/>
      <c r="M134" s="206"/>
      <c r="N134" s="206"/>
      <c r="O134" s="206"/>
    </row>
    <row r="135" spans="1:15" ht="18" customHeight="1">
      <c r="A135" s="187" t="s">
        <v>254</v>
      </c>
      <c r="B135" s="35" t="s">
        <v>255</v>
      </c>
      <c r="C135" s="68">
        <f ca="1">45.297234375*OFFSET($L$112,MATCH($N$1,$C$112:$C$113,0)-1,0)</f>
        <v>45.297234375000002</v>
      </c>
      <c r="D135" s="68">
        <f ca="1">45.2172714251894*OFFSET($L$112,MATCH($N$1,$C$112:$C$113,0)-1,0)</f>
        <v>45.217271425189402</v>
      </c>
      <c r="E135" s="68">
        <f ca="1">69.665984375*OFFSET($L$112,MATCH($N$1,$C$112:$C$113,0)-1,0)</f>
        <v>69.665984374999994</v>
      </c>
      <c r="F135" s="69">
        <f ca="1">51.25509765625*OFFSET($L$112,MATCH($N$1,$C$112:$C$113,0)-1,0)</f>
        <v>51.255097656250001</v>
      </c>
      <c r="G135" s="206"/>
      <c r="H135" s="206"/>
      <c r="I135" s="206"/>
      <c r="J135" s="206"/>
      <c r="K135" s="206"/>
      <c r="L135" s="206"/>
      <c r="M135" s="206"/>
      <c r="N135" s="206"/>
      <c r="O135" s="206"/>
    </row>
    <row r="136" spans="1:15" ht="18" customHeight="1">
      <c r="A136" s="188"/>
      <c r="B136" s="35" t="s">
        <v>256</v>
      </c>
      <c r="C136" s="30">
        <v>86538.746715545654</v>
      </c>
      <c r="D136" s="30">
        <v>86448.484699276392</v>
      </c>
      <c r="E136" s="30">
        <v>132962.50360107422</v>
      </c>
      <c r="F136" s="70">
        <v>97920.307692307688</v>
      </c>
      <c r="G136" s="206"/>
      <c r="H136" s="206"/>
      <c r="I136" s="206"/>
      <c r="J136" s="206"/>
      <c r="K136" s="206"/>
      <c r="L136" s="206"/>
      <c r="M136" s="206"/>
      <c r="N136" s="206"/>
      <c r="O136" s="206"/>
    </row>
    <row r="137" spans="1:15" ht="18" customHeight="1">
      <c r="A137" s="188"/>
      <c r="B137" s="35" t="s">
        <v>257</v>
      </c>
      <c r="C137" s="30">
        <v>649.14202880859375</v>
      </c>
      <c r="D137" s="30">
        <v>770.19438787917693</v>
      </c>
      <c r="E137" s="30">
        <v>938.007080078125</v>
      </c>
      <c r="F137" s="70">
        <v>785.29547119140625</v>
      </c>
      <c r="G137" s="206"/>
      <c r="H137" s="206"/>
      <c r="I137" s="206"/>
      <c r="J137" s="206"/>
      <c r="K137" s="206"/>
      <c r="L137" s="206"/>
      <c r="M137" s="206"/>
      <c r="N137" s="206"/>
      <c r="O137" s="206"/>
    </row>
    <row r="138" spans="1:15" ht="18" customHeight="1">
      <c r="A138" s="188"/>
      <c r="B138" s="35" t="s">
        <v>258</v>
      </c>
      <c r="C138" s="30">
        <f ca="1">339.782348804501*OFFSET($L$112,MATCH($N$1,$C$112:$C$113,0)-1,0)</f>
        <v>339.782348804501</v>
      </c>
      <c r="D138" s="30">
        <f ca="1">402.853662594989*OFFSET($L$112,MATCH($N$1,$C$112:$C$113,0)-1,0)</f>
        <v>402.85366259498898</v>
      </c>
      <c r="E138" s="30">
        <f ca="1">491.470789241623*OFFSET($L$112,MATCH($N$1,$C$112:$C$113,0)-1,0)</f>
        <v>491.47078924162298</v>
      </c>
      <c r="F138" s="70">
        <f ca="1">411.052606911422*OFFSET($L$112,MATCH($N$1,$C$112:$C$113,0)-1,0)</f>
        <v>411.052606911422</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308.879024930181*OFFSET($L$112,MATCH($N$1,$C$112:$C$113,0)-1,0)</f>
        <v>308.879024930181</v>
      </c>
      <c r="D139" s="30">
        <f ca="1">771.292626866059*OFFSET($L$112,MATCH($N$1,$C$112:$C$113,0)-1,0)</f>
        <v>771.29262686605898</v>
      </c>
      <c r="E139" s="30">
        <f ca="1">1314.13141875597*OFFSET($L$112,MATCH($N$1,$C$112:$C$113,0)-1,0)</f>
        <v>1314.1314187559699</v>
      </c>
      <c r="F139" s="70">
        <f ca="1">649.526158089492*OFFSET($L$112,MATCH($N$1,$C$112:$C$113,0)-1,0)</f>
        <v>649.52615808949201</v>
      </c>
      <c r="G139" s="206"/>
      <c r="H139" s="206"/>
      <c r="I139" s="46"/>
      <c r="J139" s="206"/>
      <c r="K139" s="71" t="s">
        <v>260</v>
      </c>
      <c r="L139" s="72">
        <f t="shared" ref="L139:M141" ca="1" si="2">C140</f>
        <v>315.40625</v>
      </c>
      <c r="M139" s="72">
        <f t="shared" ca="1" si="2"/>
        <v>178.68016903409099</v>
      </c>
      <c r="N139" s="72">
        <f ca="1">E140</f>
        <v>160.005734375</v>
      </c>
      <c r="O139" s="72"/>
    </row>
    <row r="140" spans="1:15" ht="18" customHeight="1">
      <c r="A140" s="166" t="s">
        <v>261</v>
      </c>
      <c r="B140" s="33" t="s">
        <v>262</v>
      </c>
      <c r="C140" s="73">
        <f ca="1">315.40625*OFFSET($L$112,MATCH($N$1,$C$112:$C$113,0)-1,0)</f>
        <v>315.40625</v>
      </c>
      <c r="D140" s="73">
        <f ca="1">178.680169034091*OFFSET($L$112,MATCH($N$1,$C$112:$C$113,0)-1,0)</f>
        <v>178.68016903409099</v>
      </c>
      <c r="E140" s="73">
        <f ca="1">160.005734375*OFFSET($L$112,MATCH($N$1,$C$112:$C$113,0)-1,0)</f>
        <v>160.005734375</v>
      </c>
      <c r="F140" s="74">
        <f ca="1">207.73903125*OFFSET($L$112,MATCH($N$1,$C$112:$C$113,0)-1,0)</f>
        <v>207.73903125000001</v>
      </c>
      <c r="G140" s="206"/>
      <c r="H140" s="206"/>
      <c r="I140" s="46"/>
      <c r="J140" s="206"/>
      <c r="K140" s="71" t="s">
        <v>263</v>
      </c>
      <c r="L140" s="72">
        <f t="shared" ca="1" si="2"/>
        <v>288.82228125</v>
      </c>
      <c r="M140" s="72">
        <f t="shared" ca="1" si="2"/>
        <v>183.17615719697</v>
      </c>
      <c r="N140" s="72">
        <f ca="1">E141</f>
        <v>193.20634375</v>
      </c>
      <c r="O140" s="72"/>
    </row>
    <row r="141" spans="1:15" ht="18" customHeight="1">
      <c r="A141" s="167"/>
      <c r="B141" s="35" t="s">
        <v>264</v>
      </c>
      <c r="C141" s="30">
        <f ca="1">288.82228125*OFFSET($L$112,MATCH($N$1,$C$112:$C$113,0)-1,0)</f>
        <v>288.82228125</v>
      </c>
      <c r="D141" s="30">
        <f ca="1">183.17615719697*OFFSET($L$112,MATCH($N$1,$C$112:$C$113,0)-1,0)</f>
        <v>183.17615719697</v>
      </c>
      <c r="E141" s="30">
        <f ca="1">193.20634375*OFFSET($L$112,MATCH($N$1,$C$112:$C$113,0)-1,0)</f>
        <v>193.20634375</v>
      </c>
      <c r="F141" s="70">
        <f ca="1">211.650328125*OFFSET($L$112,MATCH($N$1,$C$112:$C$113,0)-1,0)</f>
        <v>211.65032812499999</v>
      </c>
      <c r="G141" s="206"/>
      <c r="H141" s="206"/>
      <c r="I141" s="46"/>
      <c r="J141" s="206"/>
      <c r="K141" s="71" t="s">
        <v>265</v>
      </c>
      <c r="L141" s="72">
        <f t="shared" ca="1" si="2"/>
        <v>26.58396875</v>
      </c>
      <c r="M141" s="72">
        <f t="shared" ca="1" si="2"/>
        <v>-4.4959881628787803</v>
      </c>
      <c r="N141" s="72">
        <f ca="1">E142</f>
        <v>-33.200609374999999</v>
      </c>
      <c r="O141" s="72"/>
    </row>
    <row r="142" spans="1:15" ht="18" customHeight="1">
      <c r="A142" s="168"/>
      <c r="B142" s="37" t="s">
        <v>266</v>
      </c>
      <c r="C142" s="38">
        <f ca="1">26.58396875*OFFSET($L$112,MATCH($N$1,$C$112:$C$113,0)-1,0)</f>
        <v>26.58396875</v>
      </c>
      <c r="D142" s="38">
        <f ca="1">-4.49598816287878*OFFSET($L$112,MATCH($N$1,$C$112:$C$113,0)-1,0)</f>
        <v>-4.4959881628787803</v>
      </c>
      <c r="E142" s="38">
        <f ca="1">-33.200609375*OFFSET($L$112,MATCH($N$1,$C$112:$C$113,0)-1,0)</f>
        <v>-33.200609374999999</v>
      </c>
      <c r="F142" s="63">
        <f ca="1">-3.9112890625*OFFSET($L$112,MATCH($N$1,$C$112:$C$113,0)-1,0)</f>
        <v>-3.9112890624999999</v>
      </c>
      <c r="G142" s="206"/>
      <c r="H142" s="206"/>
      <c r="I142" s="46"/>
      <c r="J142" s="206"/>
      <c r="K142" s="71" t="s">
        <v>267</v>
      </c>
      <c r="L142" s="75">
        <f ca="1">IFERROR(L140/L$139,"")</f>
        <v>0.91571514911324681</v>
      </c>
      <c r="M142" s="75">
        <f t="shared" ref="M142:N143" ca="1" si="3">IFERROR(M140/M$139,"")</f>
        <v>1.0251622112693501</v>
      </c>
      <c r="N142" s="75">
        <f t="shared" ca="1" si="3"/>
        <v>1.2074963719562004</v>
      </c>
      <c r="O142" s="75"/>
    </row>
    <row r="143" spans="1:15" ht="18" customHeight="1">
      <c r="A143" s="206"/>
      <c r="B143" s="206"/>
      <c r="C143" s="206"/>
      <c r="D143" s="206"/>
      <c r="E143" s="206"/>
      <c r="F143" s="206"/>
      <c r="G143" s="206"/>
      <c r="H143" s="206"/>
      <c r="I143" s="46"/>
      <c r="J143" s="206"/>
      <c r="K143" s="71" t="s">
        <v>268</v>
      </c>
      <c r="L143" s="75">
        <f ca="1">IFERROR(L141/L$139,"")</f>
        <v>8.4284850886753193E-2</v>
      </c>
      <c r="M143" s="75">
        <f t="shared" ca="1" si="3"/>
        <v>-2.5162211269348953E-2</v>
      </c>
      <c r="N143" s="75">
        <f t="shared" ca="1" si="3"/>
        <v>-0.20749637195620038</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9</v>
      </c>
      <c r="B161" s="51"/>
      <c r="C161" s="76" t="s">
        <v>249</v>
      </c>
      <c r="D161" s="76" t="s">
        <v>270</v>
      </c>
      <c r="E161" s="76" t="s">
        <v>251</v>
      </c>
      <c r="F161" s="76" t="s">
        <v>271</v>
      </c>
      <c r="G161" s="77">
        <v>9</v>
      </c>
      <c r="H161" s="76"/>
      <c r="I161" s="76" t="s">
        <v>249</v>
      </c>
      <c r="J161" s="76" t="s">
        <v>270</v>
      </c>
      <c r="K161" s="76" t="s">
        <v>251</v>
      </c>
      <c r="L161" s="51" t="s">
        <v>271</v>
      </c>
      <c r="R161" s="206"/>
      <c r="S161" s="206"/>
    </row>
    <row r="162" spans="1:19" s="46" customFormat="1">
      <c r="A162" s="47">
        <v>1</v>
      </c>
      <c r="B162" s="51" t="s">
        <v>160</v>
      </c>
      <c r="C162" s="51">
        <v>0.51061973402854532</v>
      </c>
      <c r="D162" s="51">
        <v>0.88563421971855349</v>
      </c>
      <c r="E162" s="51">
        <v>0.84777247680385159</v>
      </c>
      <c r="F162" s="47">
        <v>12153634</v>
      </c>
      <c r="G162" s="47">
        <v>1</v>
      </c>
      <c r="H162" s="51" t="s">
        <v>160</v>
      </c>
      <c r="I162" s="51">
        <v>0.78749715184062197</v>
      </c>
      <c r="J162" s="51">
        <v>0.92520216886875051</v>
      </c>
      <c r="K162" s="51">
        <v>0.92688489637237736</v>
      </c>
      <c r="L162" s="47">
        <v>12153634</v>
      </c>
      <c r="R162" s="206"/>
      <c r="S162" s="206"/>
    </row>
    <row r="163" spans="1:19" s="46" customFormat="1">
      <c r="A163" s="47">
        <v>2</v>
      </c>
      <c r="B163" s="51" t="s">
        <v>157</v>
      </c>
      <c r="C163" s="51">
        <v>5.18187699181792E-2</v>
      </c>
      <c r="D163" s="51">
        <v>3.2744298662377533E-2</v>
      </c>
      <c r="E163" s="51">
        <v>1.7689074567891393E-2</v>
      </c>
      <c r="F163" s="47">
        <v>1692097</v>
      </c>
      <c r="G163" s="47">
        <v>2</v>
      </c>
      <c r="H163" s="51" t="s">
        <v>169</v>
      </c>
      <c r="I163" s="51">
        <v>0</v>
      </c>
      <c r="J163" s="51">
        <v>4.0632812836377395E-2</v>
      </c>
      <c r="K163" s="51">
        <v>0</v>
      </c>
      <c r="L163" s="47">
        <v>553960</v>
      </c>
      <c r="N163" s="46" t="s">
        <v>272</v>
      </c>
      <c r="R163" s="206"/>
      <c r="S163" s="206"/>
    </row>
    <row r="164" spans="1:19" s="46" customFormat="1">
      <c r="A164" s="47">
        <v>3</v>
      </c>
      <c r="B164" s="51" t="s">
        <v>169</v>
      </c>
      <c r="C164" s="51">
        <v>0</v>
      </c>
      <c r="D164" s="51">
        <v>3.4946391016877666E-2</v>
      </c>
      <c r="E164" s="51">
        <v>0</v>
      </c>
      <c r="F164" s="47">
        <v>553960</v>
      </c>
      <c r="G164" s="47">
        <v>3</v>
      </c>
      <c r="H164" s="51" t="s">
        <v>157</v>
      </c>
      <c r="I164" s="51">
        <v>2.7619398382878697E-2</v>
      </c>
      <c r="J164" s="51">
        <v>1.1298790687998314E-2</v>
      </c>
      <c r="K164" s="51">
        <v>6.1578907411611239E-3</v>
      </c>
      <c r="L164" s="47">
        <v>1692097</v>
      </c>
      <c r="N164" s="46" t="s">
        <v>273</v>
      </c>
      <c r="R164" s="206"/>
      <c r="S164" s="206"/>
    </row>
    <row r="165" spans="1:19" s="46" customFormat="1">
      <c r="A165" s="47">
        <v>4</v>
      </c>
      <c r="B165" s="51" t="s">
        <v>329</v>
      </c>
      <c r="C165" s="51">
        <v>3.8157496305489577E-2</v>
      </c>
      <c r="D165" s="51">
        <v>1.796616103974823E-2</v>
      </c>
      <c r="E165" s="51">
        <v>7.3547241435164515E-2</v>
      </c>
      <c r="F165" s="47">
        <v>11115023</v>
      </c>
      <c r="G165" s="47">
        <v>4</v>
      </c>
      <c r="H165" s="51" t="s">
        <v>161</v>
      </c>
      <c r="I165" s="51">
        <v>3.2070744146905028E-2</v>
      </c>
      <c r="J165" s="51">
        <v>7.5462674752190496E-3</v>
      </c>
      <c r="K165" s="51">
        <v>1.1081655491574305E-2</v>
      </c>
      <c r="L165" s="47">
        <v>3050596</v>
      </c>
      <c r="R165" s="206"/>
      <c r="S165" s="206"/>
    </row>
    <row r="166" spans="1:19" s="46" customFormat="1">
      <c r="A166" s="47">
        <v>5</v>
      </c>
      <c r="B166" s="51" t="s">
        <v>161</v>
      </c>
      <c r="C166" s="51">
        <v>2.0372215356739928E-2</v>
      </c>
      <c r="D166" s="51">
        <v>8.3205048990532288E-3</v>
      </c>
      <c r="E166" s="51">
        <v>1.1425981389760559E-2</v>
      </c>
      <c r="F166" s="47">
        <v>3050596</v>
      </c>
      <c r="G166" s="47">
        <v>5</v>
      </c>
      <c r="H166" s="51" t="s">
        <v>329</v>
      </c>
      <c r="I166" s="51">
        <v>0</v>
      </c>
      <c r="J166" s="51">
        <v>0</v>
      </c>
      <c r="K166" s="51">
        <v>1.9216930693341617E-2</v>
      </c>
      <c r="L166" s="47">
        <v>11115023</v>
      </c>
      <c r="R166" s="206"/>
      <c r="S166" s="206"/>
    </row>
    <row r="167" spans="1:19" s="46" customFormat="1">
      <c r="A167" s="47">
        <v>6</v>
      </c>
      <c r="B167" s="51" t="s">
        <v>403</v>
      </c>
      <c r="C167" s="51">
        <v>0</v>
      </c>
      <c r="D167" s="51">
        <v>0</v>
      </c>
      <c r="E167" s="51">
        <v>7.7881911811065775E-3</v>
      </c>
      <c r="F167" s="47">
        <v>2480382</v>
      </c>
      <c r="G167" s="47">
        <v>6</v>
      </c>
      <c r="H167" s="51" t="s">
        <v>440</v>
      </c>
      <c r="I167" s="51">
        <v>2.5353372663422635E-2</v>
      </c>
      <c r="J167" s="51">
        <v>0</v>
      </c>
      <c r="K167" s="51">
        <v>5.5591688235920719E-3</v>
      </c>
      <c r="L167" s="47">
        <v>7434864</v>
      </c>
      <c r="R167" s="206"/>
      <c r="S167" s="206"/>
    </row>
    <row r="168" spans="1:19" s="46" customFormat="1">
      <c r="A168" s="47">
        <v>7</v>
      </c>
      <c r="B168" s="51" t="s">
        <v>328</v>
      </c>
      <c r="C168" s="51">
        <v>0.3145277732603286</v>
      </c>
      <c r="D168" s="51">
        <v>0</v>
      </c>
      <c r="E168" s="51">
        <v>0</v>
      </c>
      <c r="F168" s="47">
        <v>3689192</v>
      </c>
      <c r="G168" s="47">
        <v>7</v>
      </c>
      <c r="H168" s="51" t="s">
        <v>328</v>
      </c>
      <c r="I168" s="51">
        <v>4.3573645539897787E-2</v>
      </c>
      <c r="J168" s="51">
        <v>0</v>
      </c>
      <c r="K168" s="51">
        <v>0</v>
      </c>
      <c r="L168" s="47">
        <v>3689192</v>
      </c>
      <c r="R168" s="206"/>
      <c r="S168" s="206"/>
    </row>
    <row r="169" spans="1:19" s="46" customFormat="1">
      <c r="A169" s="47">
        <v>8</v>
      </c>
      <c r="B169" s="51" t="s">
        <v>245</v>
      </c>
      <c r="C169" s="51">
        <v>6.4504011130717354E-2</v>
      </c>
      <c r="D169" s="51">
        <v>2.0388424663389859E-2</v>
      </c>
      <c r="E169" s="51">
        <v>4.1777034622225262E-2</v>
      </c>
      <c r="F169" s="47">
        <v>5920853</v>
      </c>
      <c r="G169" s="47">
        <v>8</v>
      </c>
      <c r="H169" s="51" t="s">
        <v>245</v>
      </c>
      <c r="I169" s="51">
        <v>8.3885687426273781E-2</v>
      </c>
      <c r="J169" s="51">
        <v>-2.531285270472261E-2</v>
      </c>
      <c r="K169" s="51">
        <v>3.1099457877953429E-2</v>
      </c>
      <c r="L169" s="47">
        <v>5920853</v>
      </c>
      <c r="R169" s="206"/>
      <c r="S169" s="206"/>
    </row>
    <row r="170" spans="1:19" s="46" customFormat="1">
      <c r="A170" s="47">
        <v>9</v>
      </c>
      <c r="B170" s="51"/>
      <c r="C170" s="51">
        <v>0</v>
      </c>
      <c r="D170" s="51">
        <v>0</v>
      </c>
      <c r="E170" s="51">
        <v>0</v>
      </c>
      <c r="F170" s="47"/>
      <c r="G170" s="47">
        <v>9</v>
      </c>
      <c r="H170" s="51"/>
      <c r="I170" s="51">
        <v>0</v>
      </c>
      <c r="J170" s="51">
        <v>0</v>
      </c>
      <c r="K170" s="51">
        <v>0</v>
      </c>
      <c r="L170" s="47"/>
      <c r="R170" s="206"/>
      <c r="S170" s="206"/>
    </row>
    <row r="171" spans="1:19" s="46" customFormat="1">
      <c r="A171" s="47">
        <v>10</v>
      </c>
      <c r="B171" s="51"/>
      <c r="C171" s="51">
        <v>0</v>
      </c>
      <c r="D171" s="51">
        <v>0</v>
      </c>
      <c r="E171" s="51">
        <v>0</v>
      </c>
      <c r="F171" s="47"/>
      <c r="G171" s="47">
        <v>10</v>
      </c>
      <c r="H171" s="51"/>
      <c r="I171" s="51">
        <v>0</v>
      </c>
      <c r="J171" s="51">
        <v>0</v>
      </c>
      <c r="K171" s="51">
        <v>0</v>
      </c>
      <c r="L171" s="47"/>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47533272-53C3-450B-8F0E-A372301119C5}">
      <formula1>$C$112:$C$113</formula1>
    </dataValidation>
  </dataValidations>
  <hyperlinks>
    <hyperlink ref="O1:P1" location="Home_page" display="Back to home page" xr:uid="{AFB17256-E857-441D-AF09-A5EF4326547A}"/>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9B48F8C2-3CAE-4D95-82BA-0DD6FF2A953B}">
          <x14:colorSeries rgb="FF323232"/>
          <x14:colorNegative rgb="FFD00000"/>
          <x14:colorAxis rgb="FF000000"/>
          <x14:colorMarkers rgb="FFD00000"/>
          <x14:colorFirst rgb="FFD00000"/>
          <x14:colorLast rgb="FFD00000"/>
          <x14:colorHigh rgb="FFD00000"/>
          <x14:colorLow rgb="FFD00000"/>
          <x14:sparklines>
            <x14:sparkline>
              <xm:f>'NS nephrops under 300kW'!D3:N3</xm:f>
              <xm:sqref>C3</xm:sqref>
            </x14:sparkline>
            <x14:sparkline>
              <xm:f>'NS nephrops under 300kW'!D4:N4</xm:f>
              <xm:sqref>C4</xm:sqref>
            </x14:sparkline>
            <x14:sparkline>
              <xm:f>'NS nephrops under 300kW'!D5:N5</xm:f>
              <xm:sqref>C5</xm:sqref>
            </x14:sparkline>
            <x14:sparkline>
              <xm:f>'NS nephrops under 300kW'!D6:N6</xm:f>
              <xm:sqref>C6</xm:sqref>
            </x14:sparkline>
            <x14:sparkline>
              <xm:f>'NS nephrops under 300kW'!D7:N7</xm:f>
              <xm:sqref>C7</xm:sqref>
            </x14:sparkline>
            <x14:sparkline>
              <xm:f>'NS nephrops under 300kW'!D8:N8</xm:f>
              <xm:sqref>C8</xm:sqref>
            </x14:sparkline>
            <x14:sparkline>
              <xm:f>'NS nephrops under 300kW'!D9:N9</xm:f>
              <xm:sqref>C9</xm:sqref>
            </x14:sparkline>
            <x14:sparkline>
              <xm:f>'NS nephrops under 300kW'!D10:N10</xm:f>
              <xm:sqref>C10</xm:sqref>
            </x14:sparkline>
            <x14:sparkline>
              <xm:f>'NS nephrops under 300kW'!D11:N11</xm:f>
              <xm:sqref>C11</xm:sqref>
            </x14:sparkline>
            <x14:sparkline>
              <xm:f>'NS nephrops under 300kW'!D12:N12</xm:f>
              <xm:sqref>C12</xm:sqref>
            </x14:sparkline>
            <x14:sparkline>
              <xm:f>'NS nephrops under 300kW'!D13:N13</xm:f>
              <xm:sqref>C13</xm:sqref>
            </x14:sparkline>
            <x14:sparkline>
              <xm:f>'NS nephrops under 300kW'!D14:N14</xm:f>
              <xm:sqref>C14</xm:sqref>
            </x14:sparkline>
            <x14:sparkline>
              <xm:f>'NS nephrops under 300kW'!D15:N15</xm:f>
              <xm:sqref>C15</xm:sqref>
            </x14:sparkline>
            <x14:sparkline>
              <xm:f>'NS nephrops under 300kW'!D16:N16</xm:f>
              <xm:sqref>C16</xm:sqref>
            </x14:sparkline>
            <x14:sparkline>
              <xm:f>'NS nephrops under 300kW'!D17:N17</xm:f>
              <xm:sqref>C17</xm:sqref>
            </x14:sparkline>
            <x14:sparkline>
              <xm:f>'NS nephrops under 300kW'!D18:N18</xm:f>
              <xm:sqref>C18</xm:sqref>
            </x14:sparkline>
            <x14:sparkline>
              <xm:f>'NS nephrops under 300kW'!D19:N19</xm:f>
              <xm:sqref>C19</xm:sqref>
            </x14:sparkline>
            <x14:sparkline>
              <xm:f>'NS nephrops under 300kW'!D20:N20</xm:f>
              <xm:sqref>C20</xm:sqref>
            </x14:sparkline>
            <x14:sparkline>
              <xm:f>'NS nephrops under 300kW'!D21:N21</xm:f>
              <xm:sqref>C21</xm:sqref>
            </x14:sparkline>
            <x14:sparkline>
              <xm:f>'NS nephrops under 300kW'!D22:N22</xm:f>
              <xm:sqref>C22</xm:sqref>
            </x14:sparkline>
            <x14:sparkline>
              <xm:f>'NS nephrops under 300kW'!D23:N23</xm:f>
              <xm:sqref>C23</xm:sqref>
            </x14:sparkline>
            <x14:sparkline>
              <xm:f>'NS nephrops under 300kW'!D24:N24</xm:f>
              <xm:sqref>C24</xm:sqref>
            </x14:sparkline>
            <x14:sparkline>
              <xm:f>'NS nephrops under 300kW'!D25:N25</xm:f>
              <xm:sqref>C25</xm:sqref>
            </x14:sparkline>
            <x14:sparkline>
              <xm:f>'NS nephrops under 300kW'!D26:N26</xm:f>
              <xm:sqref>C26</xm:sqref>
            </x14:sparkline>
            <x14:sparkline>
              <xm:f>'NS nephrops under 300kW'!D27:N27</xm:f>
              <xm:sqref>C27</xm:sqref>
            </x14:sparkline>
            <x14:sparkline>
              <xm:f>'NS nephrops under 300kW'!D28:N28</xm:f>
              <xm:sqref>C28</xm:sqref>
            </x14:sparkline>
            <x14:sparkline>
              <xm:f>'NS nephrops under 300kW'!D29:N29</xm:f>
              <xm:sqref>C29</xm:sqref>
            </x14:sparkline>
            <x14:sparkline>
              <xm:f>'NS nephrops under 300kW'!D30:N30</xm:f>
              <xm:sqref>C30</xm:sqref>
            </x14:sparkline>
            <x14:sparkline>
              <xm:f>'NS nephrops under 300kW'!D31:N31</xm:f>
              <xm:sqref>C31</xm:sqref>
            </x14:sparkline>
            <x14:sparkline>
              <xm:f>'NS nephrops under 300kW'!D32:N32</xm:f>
              <xm:sqref>C32</xm:sqref>
            </x14:sparkline>
            <x14:sparkline>
              <xm:f>'NS nephrops under 300kW'!D33:N33</xm:f>
              <xm:sqref>C33</xm:sqref>
            </x14:sparkline>
            <x14:sparkline>
              <xm:f>'NS nephrops under 300kW'!D34:N34</xm:f>
              <xm:sqref>C34</xm:sqref>
            </x14:sparkline>
            <x14:sparkline>
              <xm:f>'NS nephrops under 300kW'!D35:N35</xm:f>
              <xm:sqref>C35</xm:sqref>
            </x14:sparkline>
            <x14:sparkline>
              <xm:f>'NS nephrops under 300kW'!D36:N36</xm:f>
              <xm:sqref>C36</xm:sqref>
            </x14:sparkline>
            <x14:sparkline>
              <xm:f>'NS nephrops under 300kW'!D37:N37</xm:f>
              <xm:sqref>C37</xm:sqref>
            </x14:sparkline>
            <x14:sparkline>
              <xm:f>'NS nephrops under 300kW'!D38:N38</xm:f>
              <xm:sqref>C38</xm:sqref>
            </x14:sparkline>
            <x14:sparkline>
              <xm:f>'NS nephrops under 300kW'!D39:N39</xm:f>
              <xm:sqref>C39</xm:sqref>
            </x14:sparkline>
            <x14:sparkline>
              <xm:f>'NS nephrops under 300kW'!D40:N40</xm:f>
              <xm:sqref>C40</xm:sqref>
            </x14:sparkline>
            <x14:sparkline>
              <xm:f>'NS nephrops under 300kW'!D41:N41</xm:f>
              <xm:sqref>C41</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8E7BA-1FFB-44BE-B54E-F787C3CC76FC}">
  <sheetPr codeName="Feuil21">
    <pageSetUpPr fitToPage="1"/>
  </sheetPr>
  <dimension ref="A1:S192"/>
  <sheetViews>
    <sheetView topLeftCell="A43"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24</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50</v>
      </c>
      <c r="E3" s="27">
        <v>45</v>
      </c>
      <c r="F3" s="27">
        <v>46</v>
      </c>
      <c r="G3" s="27">
        <v>49</v>
      </c>
      <c r="H3" s="27">
        <v>36</v>
      </c>
      <c r="I3" s="27">
        <v>43</v>
      </c>
      <c r="J3" s="27">
        <v>44</v>
      </c>
      <c r="K3" s="27">
        <v>43</v>
      </c>
      <c r="L3" s="27">
        <v>45</v>
      </c>
      <c r="M3" s="27">
        <v>42</v>
      </c>
      <c r="N3" s="27">
        <v>41</v>
      </c>
      <c r="O3" s="28">
        <f t="shared" ref="O3:O41" si="0">IF(N3=0,"",IFERROR(IF(AND(N3&gt;0,D3&lt;0),"na",IF(AND(N3&lt;0,D3&lt;0),-1,1)*(N3-D3)/D3),""))</f>
        <v>-0.18</v>
      </c>
      <c r="P3" s="28">
        <f t="shared" ref="P3:P41" si="1">IF(N3=0,"",IFERROR(IF(AND(N3&gt;0,J3&lt;0),"na",IF(AND(N3&lt;0,J3&lt;0),-1,1)*(N3-J3)/J3),""))</f>
        <v>-6.8181818181818177E-2</v>
      </c>
      <c r="Q3" s="206"/>
    </row>
    <row r="4" spans="1:17" ht="18" customHeight="1">
      <c r="A4" s="172"/>
      <c r="B4" s="29" t="s">
        <v>184</v>
      </c>
      <c r="C4" s="30"/>
      <c r="D4" s="30">
        <v>43790</v>
      </c>
      <c r="E4" s="30">
        <v>40369</v>
      </c>
      <c r="F4" s="30">
        <v>41051</v>
      </c>
      <c r="G4" s="30">
        <v>37831</v>
      </c>
      <c r="H4" s="30">
        <v>30580</v>
      </c>
      <c r="I4" s="30">
        <v>35516</v>
      </c>
      <c r="J4" s="30">
        <v>36598</v>
      </c>
      <c r="K4" s="30">
        <v>36214</v>
      </c>
      <c r="L4" s="30">
        <v>36175</v>
      </c>
      <c r="M4" s="30">
        <v>34133</v>
      </c>
      <c r="N4" s="30">
        <v>32229</v>
      </c>
      <c r="O4" s="28">
        <f t="shared" si="0"/>
        <v>-0.26401004795615435</v>
      </c>
      <c r="P4" s="28">
        <f t="shared" si="1"/>
        <v>-0.11937810809333843</v>
      </c>
      <c r="Q4" s="206"/>
    </row>
    <row r="5" spans="1:17" ht="18" customHeight="1">
      <c r="A5" s="172"/>
      <c r="B5" s="29" t="s">
        <v>185</v>
      </c>
      <c r="C5" s="30"/>
      <c r="D5" s="30">
        <v>18023</v>
      </c>
      <c r="E5" s="30">
        <v>16539</v>
      </c>
      <c r="F5" s="30">
        <v>16533</v>
      </c>
      <c r="G5" s="30">
        <v>15862</v>
      </c>
      <c r="H5" s="30">
        <v>12506</v>
      </c>
      <c r="I5" s="30">
        <v>14482</v>
      </c>
      <c r="J5" s="30">
        <v>15000</v>
      </c>
      <c r="K5" s="30">
        <v>14868</v>
      </c>
      <c r="L5" s="30">
        <v>14989</v>
      </c>
      <c r="M5" s="30">
        <v>14595</v>
      </c>
      <c r="N5" s="30">
        <v>14348</v>
      </c>
      <c r="O5" s="28">
        <f t="shared" si="0"/>
        <v>-0.20390611995783167</v>
      </c>
      <c r="P5" s="28">
        <f t="shared" si="1"/>
        <v>-4.3466666666666667E-2</v>
      </c>
      <c r="Q5" s="207"/>
    </row>
    <row r="6" spans="1:17" ht="18" customHeight="1">
      <c r="A6" s="172"/>
      <c r="B6" s="29" t="s">
        <v>186</v>
      </c>
      <c r="C6" s="30"/>
      <c r="D6" s="30">
        <v>32706.244140625</v>
      </c>
      <c r="E6" s="30">
        <v>29820.744140625</v>
      </c>
      <c r="F6" s="30">
        <v>30268.076171875</v>
      </c>
      <c r="G6" s="30">
        <v>28753.75</v>
      </c>
      <c r="H6" s="30">
        <v>22699.40234375</v>
      </c>
      <c r="I6" s="30">
        <v>26352.083984375</v>
      </c>
      <c r="J6" s="30">
        <v>27184.373046875</v>
      </c>
      <c r="K6" s="30">
        <v>26887.015625</v>
      </c>
      <c r="L6" s="30">
        <v>27049.474609375</v>
      </c>
      <c r="M6" s="30">
        <v>25670.265625</v>
      </c>
      <c r="N6" s="30">
        <v>24453.505859375</v>
      </c>
      <c r="O6" s="28">
        <f t="shared" si="0"/>
        <v>-0.25232913463760054</v>
      </c>
      <c r="P6" s="28">
        <f t="shared" si="1"/>
        <v>-0.10045724368154699</v>
      </c>
      <c r="Q6" s="206"/>
    </row>
    <row r="7" spans="1:17" ht="18" customHeight="1">
      <c r="A7" s="172"/>
      <c r="B7" s="29" t="s">
        <v>187</v>
      </c>
      <c r="C7" s="30"/>
      <c r="D7" s="30">
        <v>41844.55859375</v>
      </c>
      <c r="E7" s="30">
        <v>39307.04296875</v>
      </c>
      <c r="F7" s="30">
        <v>41615.58984375</v>
      </c>
      <c r="G7" s="30">
        <v>50459.36328125</v>
      </c>
      <c r="H7" s="30">
        <v>40113.359375</v>
      </c>
      <c r="I7" s="30">
        <v>43756.546875</v>
      </c>
      <c r="J7" s="30">
        <v>49764.796875</v>
      </c>
      <c r="K7" s="30">
        <v>47708.02734375</v>
      </c>
      <c r="L7" s="30">
        <v>50995.24609375</v>
      </c>
      <c r="M7" s="30">
        <v>46166.015625</v>
      </c>
      <c r="N7" s="30">
        <v>34542.6328125</v>
      </c>
      <c r="O7" s="28">
        <f t="shared" si="0"/>
        <v>-0.17450120222658133</v>
      </c>
      <c r="P7" s="28">
        <f t="shared" si="1"/>
        <v>-0.30588217009576613</v>
      </c>
      <c r="Q7" s="206"/>
    </row>
    <row r="8" spans="1:17" ht="18" customHeight="1">
      <c r="A8" s="172"/>
      <c r="B8" s="29" t="s">
        <v>188</v>
      </c>
      <c r="C8" s="31"/>
      <c r="D8" s="31">
        <f ca="1">82.570128*OFFSET(D$112,MATCH($N$1,$C$112:$C$113,0)-1,0)</f>
        <v>82.570127999999997</v>
      </c>
      <c r="E8" s="31">
        <f ca="1">83.555808*OFFSET(E$112,MATCH($N$1,$C$112:$C$113,0)-1,0)</f>
        <v>83.555807999999999</v>
      </c>
      <c r="F8" s="31">
        <f ca="1">76.717368*OFFSET(F$112,MATCH($N$1,$C$112:$C$113,0)-1,0)</f>
        <v>76.717367999999993</v>
      </c>
      <c r="G8" s="31">
        <f ca="1">84.282784*OFFSET(G$112,MATCH($N$1,$C$112:$C$113,0)-1,0)</f>
        <v>84.282784000000007</v>
      </c>
      <c r="H8" s="31">
        <f ca="1">73.2906*OFFSET(H$112,MATCH($N$1,$C$112:$C$113,0)-1,0)</f>
        <v>73.290599999999998</v>
      </c>
      <c r="I8" s="31">
        <f ca="1">77.61156*OFFSET(I$112,MATCH($N$1,$C$112:$C$113,0)-1,0)</f>
        <v>77.611559999999997</v>
      </c>
      <c r="J8" s="31">
        <f ca="1">96.289184*OFFSET(J$112,MATCH($N$1,$C$112:$C$113,0)-1,0)</f>
        <v>96.289184000000006</v>
      </c>
      <c r="K8" s="31">
        <f ca="1">100.13624*OFFSET(K$112,MATCH($N$1,$C$112:$C$113,0)-1,0)</f>
        <v>100.13624</v>
      </c>
      <c r="L8" s="31">
        <f ca="1">108.679064*OFFSET(L$112,MATCH($N$1,$C$112:$C$113,0)-1,0)</f>
        <v>108.679064</v>
      </c>
      <c r="M8" s="31">
        <f ca="1">96.95276*OFFSET(M$112,MATCH($N$1,$C$112:$C$113,0)-1,0)</f>
        <v>96.952759999999998</v>
      </c>
      <c r="N8" s="31">
        <v>62.095895999999996</v>
      </c>
      <c r="O8" s="28">
        <f t="shared" ca="1" si="0"/>
        <v>-0.24796173260140764</v>
      </c>
      <c r="P8" s="28">
        <f t="shared" ca="1" si="1"/>
        <v>-0.35511037252117544</v>
      </c>
      <c r="Q8" s="206"/>
    </row>
    <row r="9" spans="1:17" ht="18" customHeight="1">
      <c r="A9" s="172"/>
      <c r="B9" s="29" t="s">
        <v>189</v>
      </c>
      <c r="C9" s="30"/>
      <c r="D9" s="30">
        <v>11044</v>
      </c>
      <c r="E9" s="30">
        <v>9800</v>
      </c>
      <c r="F9" s="30">
        <v>9216</v>
      </c>
      <c r="G9" s="30">
        <v>9630</v>
      </c>
      <c r="H9" s="30">
        <v>7752</v>
      </c>
      <c r="I9" s="30">
        <v>8957</v>
      </c>
      <c r="J9" s="30">
        <v>9082</v>
      </c>
      <c r="K9" s="30">
        <v>8406</v>
      </c>
      <c r="L9" s="30">
        <v>10210</v>
      </c>
      <c r="M9" s="30">
        <v>9127</v>
      </c>
      <c r="N9" s="30">
        <v>7924</v>
      </c>
      <c r="O9" s="28">
        <f t="shared" si="0"/>
        <v>-0.28250633828323074</v>
      </c>
      <c r="P9" s="28">
        <f t="shared" si="1"/>
        <v>-0.12750495485575863</v>
      </c>
      <c r="Q9" s="206"/>
    </row>
    <row r="10" spans="1:17" ht="18" customHeight="1">
      <c r="A10" s="172"/>
      <c r="B10" s="29" t="s">
        <v>190</v>
      </c>
      <c r="C10" s="30"/>
      <c r="D10" s="30">
        <v>812.85980224609375</v>
      </c>
      <c r="E10" s="30">
        <v>723.32177734375</v>
      </c>
      <c r="F10" s="30">
        <v>645.6190185546875</v>
      </c>
      <c r="G10" s="30">
        <v>611.16748046875</v>
      </c>
      <c r="H10" s="30">
        <v>417.97537231445313</v>
      </c>
      <c r="I10" s="30">
        <v>553.28472900390625</v>
      </c>
      <c r="J10" s="30">
        <v>640.09716796875</v>
      </c>
      <c r="K10" s="30">
        <v>515.84197998046875</v>
      </c>
      <c r="L10" s="30">
        <v>527.96246337890625</v>
      </c>
      <c r="M10" s="30">
        <v>819.6446533203125</v>
      </c>
      <c r="N10" s="30">
        <v>682.4832763671875</v>
      </c>
      <c r="O10" s="32">
        <f t="shared" si="0"/>
        <v>-0.1603923893378045</v>
      </c>
      <c r="P10" s="32">
        <f t="shared" si="1"/>
        <v>6.6218240791383748E-2</v>
      </c>
      <c r="Q10" s="206"/>
    </row>
    <row r="11" spans="1:17" ht="18" customHeight="1">
      <c r="A11" s="173" t="s">
        <v>191</v>
      </c>
      <c r="B11" s="33" t="s">
        <v>192</v>
      </c>
      <c r="C11" s="34"/>
      <c r="D11" s="34">
        <v>30.224599838256836</v>
      </c>
      <c r="E11" s="34">
        <v>29.906221389770508</v>
      </c>
      <c r="F11" s="34">
        <v>29.884347915649414</v>
      </c>
      <c r="G11" s="34">
        <v>28.813264846801758</v>
      </c>
      <c r="H11" s="34">
        <v>29.198610305786133</v>
      </c>
      <c r="I11" s="34">
        <v>29.048837661743164</v>
      </c>
      <c r="J11" s="34">
        <v>29.227500915527344</v>
      </c>
      <c r="K11" s="34">
        <v>29.306976318359375</v>
      </c>
      <c r="L11" s="34">
        <v>28.82844352722168</v>
      </c>
      <c r="M11" s="34">
        <v>29.15571403503418</v>
      </c>
      <c r="N11" s="34">
        <v>28.605609893798828</v>
      </c>
      <c r="O11" s="28">
        <f t="shared" si="0"/>
        <v>-5.3565306178471508E-2</v>
      </c>
      <c r="P11" s="28">
        <f t="shared" si="1"/>
        <v>-2.1277598229348819E-2</v>
      </c>
      <c r="Q11" s="206"/>
    </row>
    <row r="12" spans="1:17" ht="18" customHeight="1">
      <c r="A12" s="174"/>
      <c r="B12" s="35" t="s">
        <v>184</v>
      </c>
      <c r="C12" s="30"/>
      <c r="D12" s="30">
        <v>875.79998779296875</v>
      </c>
      <c r="E12" s="30">
        <v>897.0888671875</v>
      </c>
      <c r="F12" s="30">
        <v>892.41302490234375</v>
      </c>
      <c r="G12" s="30">
        <v>772.06121826171875</v>
      </c>
      <c r="H12" s="30">
        <v>849.4444580078125</v>
      </c>
      <c r="I12" s="30">
        <v>825.9534912109375</v>
      </c>
      <c r="J12" s="30">
        <v>831.772705078125</v>
      </c>
      <c r="K12" s="30">
        <v>842.18603515625</v>
      </c>
      <c r="L12" s="30">
        <v>803.888916015625</v>
      </c>
      <c r="M12" s="30">
        <v>812.69049072265625</v>
      </c>
      <c r="N12" s="30">
        <v>786.07318115234375</v>
      </c>
      <c r="O12" s="28">
        <f t="shared" si="0"/>
        <v>-0.10245125358672146</v>
      </c>
      <c r="P12" s="28">
        <f t="shared" si="1"/>
        <v>-5.4942322159379928E-2</v>
      </c>
      <c r="Q12" s="206"/>
    </row>
    <row r="13" spans="1:17" ht="18" customHeight="1">
      <c r="A13" s="174"/>
      <c r="B13" s="35" t="s">
        <v>185</v>
      </c>
      <c r="C13" s="30"/>
      <c r="D13" s="30">
        <v>360.45999145507813</v>
      </c>
      <c r="E13" s="30">
        <v>367.5333251953125</v>
      </c>
      <c r="F13" s="30">
        <v>359.41305541992188</v>
      </c>
      <c r="G13" s="30">
        <v>323.71429443359375</v>
      </c>
      <c r="H13" s="30">
        <v>347.38888549804688</v>
      </c>
      <c r="I13" s="30">
        <v>336.79071044921875</v>
      </c>
      <c r="J13" s="30">
        <v>340.90908813476563</v>
      </c>
      <c r="K13" s="30">
        <v>345.7674560546875</v>
      </c>
      <c r="L13" s="30">
        <v>333.08889770507813</v>
      </c>
      <c r="M13" s="30">
        <v>347.5</v>
      </c>
      <c r="N13" s="30">
        <v>349.95123291015625</v>
      </c>
      <c r="O13" s="28">
        <f t="shared" si="0"/>
        <v>-2.9153744643062602E-2</v>
      </c>
      <c r="P13" s="28">
        <f t="shared" si="1"/>
        <v>2.652362489032898E-2</v>
      </c>
      <c r="Q13" s="206"/>
    </row>
    <row r="14" spans="1:17" ht="18" customHeight="1">
      <c r="A14" s="174"/>
      <c r="B14" s="35" t="s">
        <v>186</v>
      </c>
      <c r="C14" s="30"/>
      <c r="D14" s="30">
        <v>654.1248779296875</v>
      </c>
      <c r="E14" s="30">
        <v>662.6832275390625</v>
      </c>
      <c r="F14" s="30">
        <v>658.00164794921875</v>
      </c>
      <c r="G14" s="30">
        <v>586.81121826171875</v>
      </c>
      <c r="H14" s="30">
        <v>630.5389404296875</v>
      </c>
      <c r="I14" s="30">
        <v>612.83917236328125</v>
      </c>
      <c r="J14" s="30">
        <v>617.82666015625</v>
      </c>
      <c r="K14" s="30">
        <v>625.2794189453125</v>
      </c>
      <c r="L14" s="30">
        <v>601.09942626953125</v>
      </c>
      <c r="M14" s="30">
        <v>611.19677734375</v>
      </c>
      <c r="N14" s="30">
        <v>596.427001953125</v>
      </c>
      <c r="O14" s="28">
        <f t="shared" si="0"/>
        <v>-8.8206209430800001E-2</v>
      </c>
      <c r="P14" s="28">
        <f t="shared" si="1"/>
        <v>-3.4636993809417302E-2</v>
      </c>
      <c r="Q14" s="206"/>
    </row>
    <row r="15" spans="1:17" ht="18" customHeight="1">
      <c r="A15" s="174"/>
      <c r="B15" s="35" t="s">
        <v>187</v>
      </c>
      <c r="C15" s="31"/>
      <c r="D15" s="31">
        <v>836.89117431640625</v>
      </c>
      <c r="E15" s="31">
        <v>873.48980712890625</v>
      </c>
      <c r="F15" s="31">
        <v>904.68670654296875</v>
      </c>
      <c r="G15" s="31">
        <v>1029.782958984375</v>
      </c>
      <c r="H15" s="31">
        <v>1114.260009765625</v>
      </c>
      <c r="I15" s="31">
        <v>1017.5941162109375</v>
      </c>
      <c r="J15" s="31">
        <v>1131.01806640625</v>
      </c>
      <c r="K15" s="31">
        <v>1109.489013671875</v>
      </c>
      <c r="L15" s="31">
        <v>1133.2276611328125</v>
      </c>
      <c r="M15" s="31">
        <v>1099.1907958984375</v>
      </c>
      <c r="N15" s="31">
        <v>842.50323486328125</v>
      </c>
      <c r="O15" s="28">
        <f t="shared" si="0"/>
        <v>6.7058426699971741E-3</v>
      </c>
      <c r="P15" s="28">
        <f t="shared" si="1"/>
        <v>-0.25509303530376781</v>
      </c>
      <c r="Q15" s="206"/>
    </row>
    <row r="16" spans="1:17" ht="18" customHeight="1">
      <c r="A16" s="174"/>
      <c r="B16" s="35" t="s">
        <v>193</v>
      </c>
      <c r="C16" s="31"/>
      <c r="D16" s="31">
        <f ca="1">1651.4025*OFFSET(D$112,MATCH($N$1,$C$112:$C$113,0)-1,0)</f>
        <v>1651.4024999999999</v>
      </c>
      <c r="E16" s="31">
        <f ca="1">1856.795875*OFFSET(E$112,MATCH($N$1,$C$112:$C$113,0)-1,0)</f>
        <v>1856.795875</v>
      </c>
      <c r="F16" s="31">
        <f ca="1">1667.768875*OFFSET(F$112,MATCH($N$1,$C$112:$C$113,0)-1,0)</f>
        <v>1667.768875</v>
      </c>
      <c r="G16" s="31">
        <f ca="1">1720.056875*OFFSET(G$112,MATCH($N$1,$C$112:$C$113,0)-1,0)</f>
        <v>1720.056875</v>
      </c>
      <c r="H16" s="31">
        <f ca="1">2035.849875*OFFSET(H$112,MATCH($N$1,$C$112:$C$113,0)-1,0)</f>
        <v>2035.8498750000001</v>
      </c>
      <c r="I16" s="31">
        <f ca="1">1804.92*OFFSET(I$112,MATCH($N$1,$C$112:$C$113,0)-1,0)</f>
        <v>1804.92</v>
      </c>
      <c r="J16" s="31">
        <f ca="1">2188.3905*OFFSET(J$112,MATCH($N$1,$C$112:$C$113,0)-1,0)</f>
        <v>2188.3905</v>
      </c>
      <c r="K16" s="31">
        <f ca="1">2328.74975*OFFSET(K$112,MATCH($N$1,$C$112:$C$113,0)-1,0)</f>
        <v>2328.7497499999999</v>
      </c>
      <c r="L16" s="31">
        <f ca="1">2415.09025*OFFSET(L$112,MATCH($N$1,$C$112:$C$113,0)-1,0)</f>
        <v>2415.0902500000002</v>
      </c>
      <c r="M16" s="31">
        <f ca="1">2308.39925*OFFSET(M$112,MATCH($N$1,$C$112:$C$113,0)-1,0)</f>
        <v>2308.3992499999999</v>
      </c>
      <c r="N16" s="31">
        <v>1514.5340000000001</v>
      </c>
      <c r="O16" s="28">
        <f t="shared" ca="1" si="0"/>
        <v>-8.2880157926368533E-2</v>
      </c>
      <c r="P16" s="28">
        <f t="shared" ca="1" si="1"/>
        <v>-0.30792333452370585</v>
      </c>
      <c r="Q16" s="206"/>
    </row>
    <row r="17" spans="1:16" ht="18" customHeight="1">
      <c r="A17" s="174"/>
      <c r="B17" s="35" t="s">
        <v>189</v>
      </c>
      <c r="C17" s="30"/>
      <c r="D17" s="30">
        <v>220.8800048828125</v>
      </c>
      <c r="E17" s="30">
        <v>217.77777099609375</v>
      </c>
      <c r="F17" s="30">
        <v>200.34782409667969</v>
      </c>
      <c r="G17" s="30">
        <v>196.53060913085938</v>
      </c>
      <c r="H17" s="30">
        <v>215.33332824707031</v>
      </c>
      <c r="I17" s="30">
        <v>208.30232238769531</v>
      </c>
      <c r="J17" s="30">
        <v>206.40908813476563</v>
      </c>
      <c r="K17" s="30">
        <v>195.48837280273438</v>
      </c>
      <c r="L17" s="30">
        <v>226.88888549804688</v>
      </c>
      <c r="M17" s="30">
        <v>217.30952453613281</v>
      </c>
      <c r="N17" s="30">
        <v>193.26829528808594</v>
      </c>
      <c r="O17" s="28">
        <f t="shared" si="0"/>
        <v>-0.12500773716197583</v>
      </c>
      <c r="P17" s="28">
        <f t="shared" si="1"/>
        <v>-6.3663828784999973E-2</v>
      </c>
    </row>
    <row r="18" spans="1:16" ht="18" customHeight="1">
      <c r="A18" s="174"/>
      <c r="B18" s="35" t="s">
        <v>194</v>
      </c>
      <c r="C18" s="30"/>
      <c r="D18" s="30">
        <v>18.200000762939453</v>
      </c>
      <c r="E18" s="30">
        <v>17.377777099609375</v>
      </c>
      <c r="F18" s="30">
        <v>19.282608032226563</v>
      </c>
      <c r="G18" s="30">
        <v>22.306121826171875</v>
      </c>
      <c r="H18" s="30">
        <v>20.80555534362793</v>
      </c>
      <c r="I18" s="30">
        <v>22.069766998291016</v>
      </c>
      <c r="J18" s="30">
        <v>22.613636016845703</v>
      </c>
      <c r="K18" s="30">
        <v>21.79069709777832</v>
      </c>
      <c r="L18" s="30">
        <v>21.799999237060547</v>
      </c>
      <c r="M18" s="30">
        <v>20.404762268066406</v>
      </c>
      <c r="N18" s="30">
        <v>18.804878234863281</v>
      </c>
      <c r="O18" s="28">
        <f t="shared" si="0"/>
        <v>3.323502453667674E-2</v>
      </c>
      <c r="P18" s="28">
        <f t="shared" si="1"/>
        <v>-0.16842748238917185</v>
      </c>
    </row>
    <row r="19" spans="1:16" ht="18" customHeight="1">
      <c r="A19" s="174"/>
      <c r="B19" s="35" t="s">
        <v>195</v>
      </c>
      <c r="C19" s="36"/>
      <c r="D19" s="36">
        <v>3.7888951301574707</v>
      </c>
      <c r="E19" s="36">
        <v>4.010922908782959</v>
      </c>
      <c r="F19" s="36">
        <v>4.5155801773071289</v>
      </c>
      <c r="G19" s="36">
        <v>5.239809513092041</v>
      </c>
      <c r="H19" s="36">
        <v>5.1745820045471191</v>
      </c>
      <c r="I19" s="36">
        <v>4.8851790428161621</v>
      </c>
      <c r="J19" s="36">
        <v>5.4794974327087402</v>
      </c>
      <c r="K19" s="36">
        <v>5.6754732131958008</v>
      </c>
      <c r="L19" s="36">
        <v>4.9946370124816895</v>
      </c>
      <c r="M19" s="36">
        <v>5.0581803321838379</v>
      </c>
      <c r="N19" s="36">
        <v>4.3592419624328613</v>
      </c>
      <c r="O19" s="28">
        <f t="shared" si="0"/>
        <v>0.15053117404484256</v>
      </c>
      <c r="P19" s="28">
        <f t="shared" si="1"/>
        <v>-0.20444493022092552</v>
      </c>
    </row>
    <row r="20" spans="1:16" ht="18" customHeight="1">
      <c r="A20" s="175"/>
      <c r="B20" s="37" t="s">
        <v>196</v>
      </c>
      <c r="C20" s="38"/>
      <c r="D20" s="38">
        <f ca="1">1973*OFFSET(D$112,MATCH($N$1,$C$112:$C$113,0)-1,0)</f>
        <v>1973</v>
      </c>
      <c r="E20" s="38">
        <f ca="1">2126*OFFSET(E$112,MATCH($N$1,$C$112:$C$113,0)-1,0)</f>
        <v>2126</v>
      </c>
      <c r="F20" s="38">
        <f ca="1">1843*OFFSET(F$112,MATCH($N$1,$C$112:$C$113,0)-1,0)</f>
        <v>1843</v>
      </c>
      <c r="G20" s="38">
        <f ca="1">1670*OFFSET(G$112,MATCH($N$1,$C$112:$C$113,0)-1,0)</f>
        <v>1670</v>
      </c>
      <c r="H20" s="38">
        <f ca="1">1827*OFFSET(H$112,MATCH($N$1,$C$112:$C$113,0)-1,0)</f>
        <v>1827</v>
      </c>
      <c r="I20" s="38">
        <f ca="1">1774*OFFSET(I$112,MATCH($N$1,$C$112:$C$113,0)-1,0)</f>
        <v>1774</v>
      </c>
      <c r="J20" s="38">
        <f ca="1">1935*OFFSET(J$112,MATCH($N$1,$C$112:$C$113,0)-1,0)</f>
        <v>1935</v>
      </c>
      <c r="K20" s="38">
        <f ca="1">2099*OFFSET(K$112,MATCH($N$1,$C$112:$C$113,0)-1,0)</f>
        <v>2099</v>
      </c>
      <c r="L20" s="38">
        <f ca="1">2131*OFFSET(L$112,MATCH($N$1,$C$112:$C$113,0)-1,0)</f>
        <v>2131</v>
      </c>
      <c r="M20" s="38">
        <f ca="1">2100*OFFSET(M$112,MATCH($N$1,$C$112:$C$113,0)-1,0)</f>
        <v>2100</v>
      </c>
      <c r="N20" s="38">
        <v>1798</v>
      </c>
      <c r="O20" s="32">
        <f t="shared" ca="1" si="0"/>
        <v>-8.869741510390268E-2</v>
      </c>
      <c r="P20" s="32">
        <f t="shared" ca="1" si="1"/>
        <v>-7.0801033591731261E-2</v>
      </c>
    </row>
    <row r="21" spans="1:16" ht="18" customHeight="1">
      <c r="A21" s="176" t="s">
        <v>197</v>
      </c>
      <c r="B21" s="33" t="s">
        <v>198</v>
      </c>
      <c r="C21" s="39"/>
      <c r="D21" s="39">
        <v>4.1424312303772934</v>
      </c>
      <c r="E21" s="39">
        <v>4.1987933477858812</v>
      </c>
      <c r="F21" s="39">
        <v>4.9229078935666379</v>
      </c>
      <c r="G21" s="39">
        <v>6.5218807494104132</v>
      </c>
      <c r="H21" s="39">
        <v>5.9072705216827153</v>
      </c>
      <c r="I21" s="39">
        <v>5.6670269523047017</v>
      </c>
      <c r="J21" s="39">
        <v>6.1898789476587153</v>
      </c>
      <c r="K21" s="39">
        <v>6.4508966756131105</v>
      </c>
      <c r="L21" s="39">
        <v>5.9475518317611984</v>
      </c>
      <c r="M21" s="39">
        <v>5.9371070047913292</v>
      </c>
      <c r="N21" s="39">
        <v>5.2905801769286063</v>
      </c>
      <c r="O21" s="28">
        <f t="shared" si="0"/>
        <v>0.27716789554204363</v>
      </c>
      <c r="P21" s="28">
        <f t="shared" si="1"/>
        <v>-0.14528535668217929</v>
      </c>
    </row>
    <row r="22" spans="1:16" ht="18" customHeight="1">
      <c r="A22" s="176"/>
      <c r="B22" s="35" t="s">
        <v>199</v>
      </c>
      <c r="C22" s="36"/>
      <c r="D22" s="36">
        <f ca="1">8.17408702572457*OFFSET(D$112,MATCH($N$1,$C$112:$C$113,0)-1,0)</f>
        <v>8.1740870257245692</v>
      </c>
      <c r="E22" s="36">
        <f ca="1">8.92546438952975*OFFSET(E$112,MATCH($N$1,$C$112:$C$113,0)-1,0)</f>
        <v>8.9254643895297505</v>
      </c>
      <c r="F22" s="36">
        <f ca="1">9.07526605619721*OFFSET(F$112,MATCH($N$1,$C$112:$C$113,0)-1,0)</f>
        <v>9.0752660561972096</v>
      </c>
      <c r="G22" s="36">
        <f ca="1">10.8935632728059*OFFSET(G$112,MATCH($N$1,$C$112:$C$113,0)-1,0)</f>
        <v>10.893563272805901</v>
      </c>
      <c r="H22" s="36">
        <f ca="1">10.7930966271405*OFFSET(H$112,MATCH($N$1,$C$112:$C$113,0)-1,0)</f>
        <v>10.7930966271405</v>
      </c>
      <c r="I22" s="36">
        <f ca="1">10.0516798631268*OFFSET(I$112,MATCH($N$1,$C$112:$C$113,0)-1,0)</f>
        <v>10.0516798631268</v>
      </c>
      <c r="J22" s="36">
        <f ca="1">11.976707258309*OFFSET(J$112,MATCH($N$1,$C$112:$C$113,0)-1,0)</f>
        <v>11.976707258309</v>
      </c>
      <c r="K22" s="36">
        <f ca="1">13.5400385542283*OFFSET(K$112,MATCH($N$1,$C$112:$C$113,0)-1,0)</f>
        <v>13.5400385542283</v>
      </c>
      <c r="L22" s="36">
        <f ca="1">12.6751886958861*OFFSET(L$112,MATCH($N$1,$C$112:$C$113,0)-1,0)</f>
        <v>12.675188695886099</v>
      </c>
      <c r="M22" s="36">
        <f ca="1">12.4684571670089*OFFSET(M$112,MATCH($N$1,$C$112:$C$113,0)-1,0)</f>
        <v>12.4684571670089</v>
      </c>
      <c r="N22" s="36">
        <v>9.5106620676473437</v>
      </c>
      <c r="O22" s="28">
        <f t="shared" ca="1" si="0"/>
        <v>0.16351367898536626</v>
      </c>
      <c r="P22" s="28">
        <f t="shared" ca="1" si="1"/>
        <v>-0.2059034371864441</v>
      </c>
    </row>
    <row r="23" spans="1:16" ht="18" customHeight="1">
      <c r="A23" s="176"/>
      <c r="B23" s="35" t="s">
        <v>154</v>
      </c>
      <c r="C23" s="36"/>
      <c r="D23" s="36">
        <f ca="1">7.60635457628875*OFFSET(D$112,MATCH($N$1,$C$112:$C$113,0)-1,0)</f>
        <v>7.6063545762887497</v>
      </c>
      <c r="E23" s="36">
        <f ca="1">8.45163095702871*OFFSET(E$112,MATCH($N$1,$C$112:$C$113,0)-1,0)</f>
        <v>8.4516309570287103</v>
      </c>
      <c r="F23" s="36">
        <f ca="1">9.02378901673629*OFFSET(F$112,MATCH($N$1,$C$112:$C$113,0)-1,0)</f>
        <v>9.0237890167362895</v>
      </c>
      <c r="G23" s="36">
        <f ca="1">10.3312484216335*OFFSET(G$112,MATCH($N$1,$C$112:$C$113,0)-1,0)</f>
        <v>10.3312484216335</v>
      </c>
      <c r="H23" s="36">
        <f ca="1">9.95285342658705*OFFSET(H$112,MATCH($N$1,$C$112:$C$113,0)-1,0)</f>
        <v>9.9528534265870494</v>
      </c>
      <c r="I23" s="36">
        <f ca="1">8.99183950065858*OFFSET(I$112,MATCH($N$1,$C$112:$C$113,0)-1,0)</f>
        <v>8.9918395006585801</v>
      </c>
      <c r="J23" s="36">
        <f ca="1">10.248052204036*OFFSET(J$112,MATCH($N$1,$C$112:$C$113,0)-1,0)</f>
        <v>10.248052204036</v>
      </c>
      <c r="K23" s="36">
        <f ca="1">11.6803354085219*OFFSET(K$112,MATCH($N$1,$C$112:$C$113,0)-1,0)</f>
        <v>11.6803354085219</v>
      </c>
      <c r="L23" s="36">
        <f ca="1">10.7587820538631*OFFSET(L$112,MATCH($N$1,$C$112:$C$113,0)-1,0)</f>
        <v>10.758782053863101</v>
      </c>
      <c r="M23" s="36">
        <f ca="1">10.8258827145532*OFFSET(M$112,MATCH($N$1,$C$112:$C$113,0)-1,0)</f>
        <v>10.825882714553201</v>
      </c>
      <c r="N23" s="36">
        <v>8.8271516104515246</v>
      </c>
      <c r="O23" s="28">
        <f t="shared" ca="1" si="0"/>
        <v>0.16049699260252201</v>
      </c>
      <c r="P23" s="28">
        <f t="shared" ca="1" si="1"/>
        <v>-0.1386507958092642</v>
      </c>
    </row>
    <row r="24" spans="1:16" ht="18" customHeight="1">
      <c r="A24" s="176"/>
      <c r="B24" s="35" t="s">
        <v>155</v>
      </c>
      <c r="C24" s="36"/>
      <c r="D24" s="36">
        <f ca="1">0.832335784121322*OFFSET(D$112,MATCH($N$1,$C$112:$C$113,0)-1,0)</f>
        <v>0.83233578412132203</v>
      </c>
      <c r="E24" s="36">
        <f ca="1">0.689251267035828*OFFSET(E$112,MATCH($N$1,$C$112:$C$113,0)-1,0)</f>
        <v>0.68925126703582795</v>
      </c>
      <c r="F24" s="36">
        <f ca="1">0.533085200986181*OFFSET(F$112,MATCH($N$1,$C$112:$C$113,0)-1,0)</f>
        <v>0.53308520098618095</v>
      </c>
      <c r="G24" s="36">
        <f ca="1">0.905293455449095*OFFSET(G$112,MATCH($N$1,$C$112:$C$113,0)-1,0)</f>
        <v>0.90529345544909501</v>
      </c>
      <c r="H24" s="36">
        <f ca="1">1.43689005610664*OFFSET(H$112,MATCH($N$1,$C$112:$C$113,0)-1,0)</f>
        <v>1.43689005610664</v>
      </c>
      <c r="I24" s="36">
        <f ca="1">1.40419437810175*OFFSET(I$112,MATCH($N$1,$C$112:$C$113,0)-1,0)</f>
        <v>1.4041943781017501</v>
      </c>
      <c r="J24" s="36">
        <f ca="1">2.23404045539145*OFFSET(J$112,MATCH($N$1,$C$112:$C$113,0)-1,0)</f>
        <v>2.2340404553914501</v>
      </c>
      <c r="K24" s="36">
        <f ca="1">2.33720368557273*OFFSET(K$112,MATCH($N$1,$C$112:$C$113,0)-1,0)</f>
        <v>2.3372036855727298</v>
      </c>
      <c r="L24" s="36">
        <f ca="1">2.12804250359408*OFFSET(L$112,MATCH($N$1,$C$112:$C$113,0)-1,0)</f>
        <v>2.12804250359408</v>
      </c>
      <c r="M24" s="36">
        <f ca="1">2.36994746518328*OFFSET(M$112,MATCH($N$1,$C$112:$C$113,0)-1,0)</f>
        <v>2.3699474651832801</v>
      </c>
      <c r="N24" s="36">
        <v>1.2507111152190136</v>
      </c>
      <c r="O24" s="28">
        <f t="shared" ca="1" si="0"/>
        <v>0.50265210156663021</v>
      </c>
      <c r="P24" s="28">
        <f t="shared" ca="1" si="1"/>
        <v>-0.44015735605832479</v>
      </c>
    </row>
    <row r="25" spans="1:16" ht="18" customHeight="1">
      <c r="A25" s="176"/>
      <c r="B25" s="35" t="s">
        <v>200</v>
      </c>
      <c r="C25" s="31"/>
      <c r="D25" s="31">
        <f ca="1">101.58*OFFSET(D$112,MATCH($N$1,$C$112:$C$113,0)-1,0)</f>
        <v>101.58</v>
      </c>
      <c r="E25" s="31">
        <f ca="1">115.52*OFFSET(E$112,MATCH($N$1,$C$112:$C$113,0)-1,0)</f>
        <v>115.52</v>
      </c>
      <c r="F25" s="31">
        <f ca="1">118.83*OFFSET(F$112,MATCH($N$1,$C$112:$C$113,0)-1,0)</f>
        <v>118.83</v>
      </c>
      <c r="G25" s="31">
        <f ca="1">137.91*OFFSET(G$112,MATCH($N$1,$C$112:$C$113,0)-1,0)</f>
        <v>137.91</v>
      </c>
      <c r="H25" s="31">
        <f ca="1">175.34*OFFSET(H$112,MATCH($N$1,$C$112:$C$113,0)-1,0)</f>
        <v>175.34</v>
      </c>
      <c r="I25" s="31">
        <f ca="1">140.27*OFFSET(I$112,MATCH($N$1,$C$112:$C$113,0)-1,0)</f>
        <v>140.27000000000001</v>
      </c>
      <c r="J25" s="31">
        <f ca="1">150.43*OFFSET(J$112,MATCH($N$1,$C$112:$C$113,0)-1,0)</f>
        <v>150.43</v>
      </c>
      <c r="K25" s="31">
        <f ca="1">194.12*OFFSET(K$112,MATCH($N$1,$C$112:$C$113,0)-1,0)</f>
        <v>194.12</v>
      </c>
      <c r="L25" s="31">
        <f ca="1">205.85*OFFSET(L$112,MATCH($N$1,$C$112:$C$113,0)-1,0)</f>
        <v>205.85</v>
      </c>
      <c r="M25" s="31">
        <f ca="1">118.29*OFFSET(M$112,MATCH($N$1,$C$112:$C$113,0)-1,0)</f>
        <v>118.29</v>
      </c>
      <c r="N25" s="31">
        <v>90.98</v>
      </c>
      <c r="O25" s="28">
        <f t="shared" ca="1" si="0"/>
        <v>-0.10435125024611139</v>
      </c>
      <c r="P25" s="28">
        <f t="shared" ca="1" si="1"/>
        <v>-0.39520042544705181</v>
      </c>
    </row>
    <row r="26" spans="1:16" ht="18" customHeight="1">
      <c r="A26" s="177"/>
      <c r="B26" s="35" t="s">
        <v>201</v>
      </c>
      <c r="C26" s="31"/>
      <c r="D26" s="31">
        <f ca="1">10.35*OFFSET(D$112,MATCH($N$1,$C$112:$C$113,0)-1,0)</f>
        <v>10.35</v>
      </c>
      <c r="E26" s="31">
        <f ca="1">8.92*OFFSET(E$112,MATCH($N$1,$C$112:$C$113,0)-1,0)</f>
        <v>8.92</v>
      </c>
      <c r="F26" s="31">
        <f ca="1">6.98*OFFSET(F$112,MATCH($N$1,$C$112:$C$113,0)-1,0)</f>
        <v>6.98</v>
      </c>
      <c r="G26" s="31">
        <f ca="1">11.46*OFFSET(G$112,MATCH($N$1,$C$112:$C$113,0)-1,0)</f>
        <v>11.46</v>
      </c>
      <c r="H26" s="31">
        <f ca="1">23.34*OFFSET(H$112,MATCH($N$1,$C$112:$C$113,0)-1,0)</f>
        <v>23.34</v>
      </c>
      <c r="I26" s="31">
        <f ca="1">19.59*OFFSET(I$112,MATCH($N$1,$C$112:$C$113,0)-1,0)</f>
        <v>19.59</v>
      </c>
      <c r="J26" s="31">
        <f ca="1">28.06*OFFSET(J$112,MATCH($N$1,$C$112:$C$113,0)-1,0)</f>
        <v>28.06</v>
      </c>
      <c r="K26" s="31">
        <f ca="1">33.51*OFFSET(K$112,MATCH($N$1,$C$112:$C$113,0)-1,0)</f>
        <v>33.51</v>
      </c>
      <c r="L26" s="31">
        <f ca="1">34.56*OFFSET(L$112,MATCH($N$1,$C$112:$C$113,0)-1,0)</f>
        <v>34.56</v>
      </c>
      <c r="M26" s="31">
        <f ca="1">22.48*OFFSET(M$112,MATCH($N$1,$C$112:$C$113,0)-1,0)</f>
        <v>22.48</v>
      </c>
      <c r="N26" s="31">
        <v>11.97</v>
      </c>
      <c r="O26" s="32">
        <f t="shared" ca="1" si="0"/>
        <v>0.15652173913043488</v>
      </c>
      <c r="P26" s="32">
        <f t="shared" ca="1" si="1"/>
        <v>-0.57341411261582309</v>
      </c>
    </row>
    <row r="27" spans="1:16" ht="18" customHeight="1">
      <c r="A27" s="166" t="s">
        <v>202</v>
      </c>
      <c r="B27" s="33" t="s">
        <v>193</v>
      </c>
      <c r="C27" s="34"/>
      <c r="D27" s="34">
        <f ca="1">1651.4*OFFSET(D$112,MATCH($N$1,$C$112:$C$113,0)-1,0)</f>
        <v>1651.4</v>
      </c>
      <c r="E27" s="34">
        <f ca="1">1856.8*OFFSET(E$112,MATCH($N$1,$C$112:$C$113,0)-1,0)</f>
        <v>1856.8</v>
      </c>
      <c r="F27" s="34">
        <f ca="1">1667.8*OFFSET(F$112,MATCH($N$1,$C$112:$C$113,0)-1,0)</f>
        <v>1667.8</v>
      </c>
      <c r="G27" s="34">
        <f ca="1">1720.1*OFFSET(G$112,MATCH($N$1,$C$112:$C$113,0)-1,0)</f>
        <v>1720.1</v>
      </c>
      <c r="H27" s="34">
        <f ca="1">2035.8*OFFSET(H$112,MATCH($N$1,$C$112:$C$113,0)-1,0)</f>
        <v>2035.8</v>
      </c>
      <c r="I27" s="34">
        <f ca="1">1804.9*OFFSET(I$112,MATCH($N$1,$C$112:$C$113,0)-1,0)</f>
        <v>1804.9</v>
      </c>
      <c r="J27" s="34">
        <f ca="1">2188.4*OFFSET(J$112,MATCH($N$1,$C$112:$C$113,0)-1,0)</f>
        <v>2188.4</v>
      </c>
      <c r="K27" s="34">
        <f ca="1">2328.7*OFFSET(K$112,MATCH($N$1,$C$112:$C$113,0)-1,0)</f>
        <v>2328.6999999999998</v>
      </c>
      <c r="L27" s="34">
        <f ca="1">2415.1*OFFSET(L$112,MATCH($N$1,$C$112:$C$113,0)-1,0)</f>
        <v>2415.1</v>
      </c>
      <c r="M27" s="34">
        <f ca="1">2308.4*OFFSET(M$112,MATCH($N$1,$C$112:$C$113,0)-1,0)</f>
        <v>2308.4</v>
      </c>
      <c r="N27" s="34">
        <v>1514.5</v>
      </c>
      <c r="O27" s="28">
        <f t="shared" ca="1" si="0"/>
        <v>-8.2899358120382752E-2</v>
      </c>
      <c r="P27" s="28">
        <f t="shared" ca="1" si="1"/>
        <v>-0.30794187534271616</v>
      </c>
    </row>
    <row r="28" spans="1:16" ht="18" customHeight="1">
      <c r="A28" s="178"/>
      <c r="B28" s="35" t="s">
        <v>203</v>
      </c>
      <c r="C28" s="31"/>
      <c r="D28" s="31">
        <f ca="1">53.5*OFFSET(D$112,MATCH($N$1,$C$112:$C$113,0)-1,0)</f>
        <v>53.5</v>
      </c>
      <c r="E28" s="31">
        <f ca="1">44.8*OFFSET(E$112,MATCH($N$1,$C$112:$C$113,0)-1,0)</f>
        <v>44.8</v>
      </c>
      <c r="F28" s="31">
        <f ca="1">88.5*OFFSET(F$112,MATCH($N$1,$C$112:$C$113,0)-1,0)</f>
        <v>88.5</v>
      </c>
      <c r="G28" s="31">
        <f ca="1">54.2*OFFSET(G$112,MATCH($N$1,$C$112:$C$113,0)-1,0)</f>
        <v>54.2</v>
      </c>
      <c r="H28" s="31">
        <f ca="1">112.5*OFFSET(H$112,MATCH($N$1,$C$112:$C$113,0)-1,0)</f>
        <v>112.5</v>
      </c>
      <c r="I28" s="31">
        <f ca="1">61.8*OFFSET(I$112,MATCH($N$1,$C$112:$C$113,0)-1,0)</f>
        <v>61.8</v>
      </c>
      <c r="J28" s="31">
        <f ca="1">92.3*OFFSET(J$112,MATCH($N$1,$C$112:$C$113,0)-1,0)</f>
        <v>92.3</v>
      </c>
      <c r="K28" s="31">
        <f ca="1">82.1*OFFSET(K$112,MATCH($N$1,$C$112:$C$113,0)-1,0)</f>
        <v>82.1</v>
      </c>
      <c r="L28" s="31">
        <f ca="1">40.3*OFFSET(L$112,MATCH($N$1,$C$112:$C$113,0)-1,0)</f>
        <v>40.299999999999997</v>
      </c>
      <c r="M28" s="31">
        <f ca="1">134.7*OFFSET(M$112,MATCH($N$1,$C$112:$C$113,0)-1,0)</f>
        <v>134.69999999999999</v>
      </c>
      <c r="N28" s="31">
        <v>90.3</v>
      </c>
      <c r="O28" s="28">
        <f t="shared" ca="1" si="0"/>
        <v>0.68785046728971955</v>
      </c>
      <c r="P28" s="28">
        <f t="shared" ca="1" si="1"/>
        <v>-2.1668472372697724E-2</v>
      </c>
    </row>
    <row r="29" spans="1:16" ht="18" customHeight="1">
      <c r="A29" s="178"/>
      <c r="B29" s="40" t="s">
        <v>204</v>
      </c>
      <c r="C29" s="41"/>
      <c r="D29" s="41">
        <f ca="1">1704.9*OFFSET(D$112,MATCH($N$1,$C$112:$C$113,0)-1,0)</f>
        <v>1704.9</v>
      </c>
      <c r="E29" s="41">
        <f ca="1">1901.6*OFFSET(E$112,MATCH($N$1,$C$112:$C$113,0)-1,0)</f>
        <v>1901.6</v>
      </c>
      <c r="F29" s="41">
        <f ca="1">1756.3*OFFSET(F$112,MATCH($N$1,$C$112:$C$113,0)-1,0)</f>
        <v>1756.3</v>
      </c>
      <c r="G29" s="41">
        <f ca="1">1774.2*OFFSET(G$112,MATCH($N$1,$C$112:$C$113,0)-1,0)</f>
        <v>1774.2</v>
      </c>
      <c r="H29" s="41">
        <f ca="1">2148.4*OFFSET(H$112,MATCH($N$1,$C$112:$C$113,0)-1,0)</f>
        <v>2148.4</v>
      </c>
      <c r="I29" s="41">
        <f ca="1">1866.8*OFFSET(I$112,MATCH($N$1,$C$112:$C$113,0)-1,0)</f>
        <v>1866.8</v>
      </c>
      <c r="J29" s="41">
        <f ca="1">2280.7*OFFSET(J$112,MATCH($N$1,$C$112:$C$113,0)-1,0)</f>
        <v>2280.6999999999998</v>
      </c>
      <c r="K29" s="41">
        <f ca="1">2410.9*OFFSET(K$112,MATCH($N$1,$C$112:$C$113,0)-1,0)</f>
        <v>2410.9</v>
      </c>
      <c r="L29" s="41">
        <f ca="1">2455.4*OFFSET(L$112,MATCH($N$1,$C$112:$C$113,0)-1,0)</f>
        <v>2455.4</v>
      </c>
      <c r="M29" s="41">
        <f ca="1">2443.1*OFFSET(M$112,MATCH($N$1,$C$112:$C$113,0)-1,0)</f>
        <v>2443.1</v>
      </c>
      <c r="N29" s="41">
        <v>1604.9</v>
      </c>
      <c r="O29" s="28">
        <f t="shared" ca="1" si="0"/>
        <v>-5.8654466537626834E-2</v>
      </c>
      <c r="P29" s="28">
        <f t="shared" ca="1" si="1"/>
        <v>-0.2963125356250273</v>
      </c>
    </row>
    <row r="30" spans="1:16" ht="18" customHeight="1">
      <c r="A30" s="178"/>
      <c r="B30" s="35" t="s">
        <v>205</v>
      </c>
      <c r="C30" s="31"/>
      <c r="D30" s="31">
        <f ca="1">459.6*OFFSET(D$112,MATCH($N$1,$C$112:$C$113,0)-1,0)</f>
        <v>459.6</v>
      </c>
      <c r="E30" s="31">
        <f ca="1">598.6*OFFSET(E$112,MATCH($N$1,$C$112:$C$113,0)-1,0)</f>
        <v>598.6</v>
      </c>
      <c r="F30" s="31">
        <f ca="1">549.7*OFFSET(F$112,MATCH($N$1,$C$112:$C$113,0)-1,0)</f>
        <v>549.70000000000005</v>
      </c>
      <c r="G30" s="31">
        <f ca="1">472.1*OFFSET(G$112,MATCH($N$1,$C$112:$C$113,0)-1,0)</f>
        <v>472.1</v>
      </c>
      <c r="H30" s="31">
        <f ca="1">488.7*OFFSET(H$112,MATCH($N$1,$C$112:$C$113,0)-1,0)</f>
        <v>488.7</v>
      </c>
      <c r="I30" s="31">
        <f ca="1">324.6*OFFSET(I$112,MATCH($N$1,$C$112:$C$113,0)-1,0)</f>
        <v>324.60000000000002</v>
      </c>
      <c r="J30" s="31">
        <f ca="1">305.8*OFFSET(J$112,MATCH($N$1,$C$112:$C$113,0)-1,0)</f>
        <v>305.8</v>
      </c>
      <c r="K30" s="31">
        <f ca="1">345.6*OFFSET(K$112,MATCH($N$1,$C$112:$C$113,0)-1,0)</f>
        <v>345.6</v>
      </c>
      <c r="L30" s="31">
        <f ca="1">458.2*OFFSET(L$112,MATCH($N$1,$C$112:$C$113,0)-1,0)</f>
        <v>458.2</v>
      </c>
      <c r="M30" s="31">
        <f ca="1">428.2*OFFSET(M$112,MATCH($N$1,$C$112:$C$113,0)-1,0)</f>
        <v>428.2</v>
      </c>
      <c r="N30" s="31">
        <v>281.10000000000002</v>
      </c>
      <c r="O30" s="28">
        <f t="shared" ca="1" si="0"/>
        <v>-0.38838120104438639</v>
      </c>
      <c r="P30" s="28">
        <f t="shared" ca="1" si="1"/>
        <v>-8.0771746239372097E-2</v>
      </c>
    </row>
    <row r="31" spans="1:16" ht="18" customHeight="1">
      <c r="A31" s="178"/>
      <c r="B31" s="35" t="s">
        <v>206</v>
      </c>
      <c r="C31" s="31"/>
      <c r="D31" s="31">
        <f ca="1">371.8*OFFSET(D$112,MATCH($N$1,$C$112:$C$113,0)-1,0)</f>
        <v>371.8</v>
      </c>
      <c r="E31" s="31">
        <f ca="1">382.6*OFFSET(E$112,MATCH($N$1,$C$112:$C$113,0)-1,0)</f>
        <v>382.6</v>
      </c>
      <c r="F31" s="31">
        <f ca="1">337.3*OFFSET(F$112,MATCH($N$1,$C$112:$C$113,0)-1,0)</f>
        <v>337.3</v>
      </c>
      <c r="G31" s="31">
        <f ca="1">369.3*OFFSET(G$112,MATCH($N$1,$C$112:$C$113,0)-1,0)</f>
        <v>369.3</v>
      </c>
      <c r="H31" s="31">
        <f ca="1">467.3*OFFSET(H$112,MATCH($N$1,$C$112:$C$113,0)-1,0)</f>
        <v>467.3</v>
      </c>
      <c r="I31" s="31">
        <f ca="1">439.2*OFFSET(I$112,MATCH($N$1,$C$112:$C$113,0)-1,0)</f>
        <v>439.2</v>
      </c>
      <c r="J31" s="31">
        <f ca="1">583.6*OFFSET(J$112,MATCH($N$1,$C$112:$C$113,0)-1,0)</f>
        <v>583.6</v>
      </c>
      <c r="K31" s="31">
        <f ca="1">620.6*OFFSET(K$112,MATCH($N$1,$C$112:$C$113,0)-1,0)</f>
        <v>620.6</v>
      </c>
      <c r="L31" s="31">
        <f ca="1">598.7*OFFSET(L$112,MATCH($N$1,$C$112:$C$113,0)-1,0)</f>
        <v>598.70000000000005</v>
      </c>
      <c r="M31" s="31">
        <f ca="1">618.6*OFFSET(M$112,MATCH($N$1,$C$112:$C$113,0)-1,0)</f>
        <v>618.6</v>
      </c>
      <c r="N31" s="31">
        <v>405.8</v>
      </c>
      <c r="O31" s="28">
        <f t="shared" ca="1" si="0"/>
        <v>9.1447014523937595E-2</v>
      </c>
      <c r="P31" s="28">
        <f t="shared" ca="1" si="1"/>
        <v>-0.30466072652501713</v>
      </c>
    </row>
    <row r="32" spans="1:16" ht="18" customHeight="1">
      <c r="A32" s="178"/>
      <c r="B32" s="35" t="s">
        <v>207</v>
      </c>
      <c r="C32" s="31"/>
      <c r="D32" s="31">
        <f ca="1">335.3*OFFSET(D$112,MATCH($N$1,$C$112:$C$113,0)-1,0)</f>
        <v>335.3</v>
      </c>
      <c r="E32" s="31">
        <f ca="1">436.7*OFFSET(E$112,MATCH($N$1,$C$112:$C$113,0)-1,0)</f>
        <v>436.7</v>
      </c>
      <c r="F32" s="31">
        <f ca="1">455.8*OFFSET(F$112,MATCH($N$1,$C$112:$C$113,0)-1,0)</f>
        <v>455.8</v>
      </c>
      <c r="G32" s="31">
        <f ca="1">469*OFFSET(G$112,MATCH($N$1,$C$112:$C$113,0)-1,0)</f>
        <v>469</v>
      </c>
      <c r="H32" s="31">
        <f ca="1">573.5*OFFSET(H$112,MATCH($N$1,$C$112:$C$113,0)-1,0)</f>
        <v>573.5</v>
      </c>
      <c r="I32" s="31">
        <f ca="1">497.4*OFFSET(I$112,MATCH($N$1,$C$112:$C$113,0)-1,0)</f>
        <v>497.4</v>
      </c>
      <c r="J32" s="31">
        <f ca="1">588.2*OFFSET(J$112,MATCH($N$1,$C$112:$C$113,0)-1,0)</f>
        <v>588.20000000000005</v>
      </c>
      <c r="K32" s="31">
        <f ca="1">631.3*OFFSET(K$112,MATCH($N$1,$C$112:$C$113,0)-1,0)</f>
        <v>631.29999999999995</v>
      </c>
      <c r="L32" s="31">
        <f ca="1">621.7*OFFSET(L$112,MATCH($N$1,$C$112:$C$113,0)-1,0)</f>
        <v>621.70000000000005</v>
      </c>
      <c r="M32" s="31">
        <f ca="1">588.7*OFFSET(M$112,MATCH($N$1,$C$112:$C$113,0)-1,0)</f>
        <v>588.70000000000005</v>
      </c>
      <c r="N32" s="31">
        <v>386.2</v>
      </c>
      <c r="O32" s="28">
        <f t="shared" ca="1" si="0"/>
        <v>0.15180435430957345</v>
      </c>
      <c r="P32" s="28">
        <f t="shared" ca="1" si="1"/>
        <v>-0.34342060523631424</v>
      </c>
    </row>
    <row r="33" spans="1:16" ht="18" customHeight="1">
      <c r="A33" s="178"/>
      <c r="B33" s="35" t="s">
        <v>208</v>
      </c>
      <c r="C33" s="31"/>
      <c r="D33" s="31">
        <f ca="1">1166.6*OFFSET(D$112,MATCH($N$1,$C$112:$C$113,0)-1,0)</f>
        <v>1166.5999999999999</v>
      </c>
      <c r="E33" s="31">
        <f ca="1">1417.9*OFFSET(E$112,MATCH($N$1,$C$112:$C$113,0)-1,0)</f>
        <v>1417.9</v>
      </c>
      <c r="F33" s="31">
        <f ca="1">1342.8*OFFSET(F$112,MATCH($N$1,$C$112:$C$113,0)-1,0)</f>
        <v>1342.8</v>
      </c>
      <c r="G33" s="31">
        <f ca="1">1310.4*OFFSET(G$112,MATCH($N$1,$C$112:$C$113,0)-1,0)</f>
        <v>1310.4000000000001</v>
      </c>
      <c r="H33" s="31">
        <f ca="1">1529.5*OFFSET(H$112,MATCH($N$1,$C$112:$C$113,0)-1,0)</f>
        <v>1529.5</v>
      </c>
      <c r="I33" s="31">
        <f ca="1">1261.2*OFFSET(I$112,MATCH($N$1,$C$112:$C$113,0)-1,0)</f>
        <v>1261.2</v>
      </c>
      <c r="J33" s="31">
        <f ca="1">1477.6*OFFSET(J$112,MATCH($N$1,$C$112:$C$113,0)-1,0)</f>
        <v>1477.6</v>
      </c>
      <c r="K33" s="31">
        <f ca="1">1597.6*OFFSET(K$112,MATCH($N$1,$C$112:$C$113,0)-1,0)</f>
        <v>1597.6</v>
      </c>
      <c r="L33" s="31">
        <f ca="1">1678.5*OFFSET(L$112,MATCH($N$1,$C$112:$C$113,0)-1,0)</f>
        <v>1678.5</v>
      </c>
      <c r="M33" s="31">
        <f ca="1">1635.5*OFFSET(M$112,MATCH($N$1,$C$112:$C$113,0)-1,0)</f>
        <v>1635.5</v>
      </c>
      <c r="N33" s="31">
        <v>1073.2</v>
      </c>
      <c r="O33" s="28">
        <f t="shared" ca="1" si="0"/>
        <v>-8.0061717812446309E-2</v>
      </c>
      <c r="P33" s="28">
        <f t="shared" ca="1" si="1"/>
        <v>-0.27368706009745525</v>
      </c>
    </row>
    <row r="34" spans="1:16" ht="18" customHeight="1">
      <c r="A34" s="178"/>
      <c r="B34" s="35" t="s">
        <v>209</v>
      </c>
      <c r="C34" s="31"/>
      <c r="D34" s="31">
        <f ca="1">370.1*OFFSET(D$112,MATCH($N$1,$C$112:$C$113,0)-1,0)</f>
        <v>370.1</v>
      </c>
      <c r="E34" s="31">
        <f ca="1">340.3*OFFSET(E$112,MATCH($N$1,$C$112:$C$113,0)-1,0)</f>
        <v>340.3</v>
      </c>
      <c r="F34" s="31">
        <f ca="1">315.5*OFFSET(F$112,MATCH($N$1,$C$112:$C$113,0)-1,0)</f>
        <v>315.5</v>
      </c>
      <c r="G34" s="31">
        <f ca="1">320.9*OFFSET(G$112,MATCH($N$1,$C$112:$C$113,0)-1,0)</f>
        <v>320.89999999999998</v>
      </c>
      <c r="H34" s="31">
        <f ca="1">347.9*OFFSET(H$112,MATCH($N$1,$C$112:$C$113,0)-1,0)</f>
        <v>347.9</v>
      </c>
      <c r="I34" s="31">
        <f ca="1">353.4*OFFSET(I$112,MATCH($N$1,$C$112:$C$113,0)-1,0)</f>
        <v>353.4</v>
      </c>
      <c r="J34" s="31">
        <f ca="1">394.9*OFFSET(J$112,MATCH($N$1,$C$112:$C$113,0)-1,0)</f>
        <v>394.9</v>
      </c>
      <c r="K34" s="31">
        <f ca="1">411.3*OFFSET(K$112,MATCH($N$1,$C$112:$C$113,0)-1,0)</f>
        <v>411.3</v>
      </c>
      <c r="L34" s="31">
        <f ca="1">371.4*OFFSET(L$112,MATCH($N$1,$C$112:$C$113,0)-1,0)</f>
        <v>371.4</v>
      </c>
      <c r="M34" s="31">
        <f ca="1">368.8*OFFSET(M$112,MATCH($N$1,$C$112:$C$113,0)-1,0)</f>
        <v>368.8</v>
      </c>
      <c r="N34" s="31">
        <v>332.5</v>
      </c>
      <c r="O34" s="28">
        <f t="shared" ca="1" si="0"/>
        <v>-0.10159416373952991</v>
      </c>
      <c r="P34" s="28">
        <f t="shared" ca="1" si="1"/>
        <v>-0.15801468726259807</v>
      </c>
    </row>
    <row r="35" spans="1:16" ht="18" customHeight="1">
      <c r="A35" s="178"/>
      <c r="B35" s="35" t="s">
        <v>210</v>
      </c>
      <c r="C35" s="31"/>
      <c r="D35" s="31">
        <f ca="1">1536.7*OFFSET(D$112,MATCH($N$1,$C$112:$C$113,0)-1,0)</f>
        <v>1536.7</v>
      </c>
      <c r="E35" s="31">
        <f ca="1">1758.2*OFFSET(E$112,MATCH($N$1,$C$112:$C$113,0)-1,0)</f>
        <v>1758.2</v>
      </c>
      <c r="F35" s="31">
        <f ca="1">1658.3*OFFSET(F$112,MATCH($N$1,$C$112:$C$113,0)-1,0)</f>
        <v>1658.3</v>
      </c>
      <c r="G35" s="31">
        <f ca="1">1631.3*OFFSET(G$112,MATCH($N$1,$C$112:$C$113,0)-1,0)</f>
        <v>1631.3</v>
      </c>
      <c r="H35" s="31">
        <f ca="1">1877.4*OFFSET(H$112,MATCH($N$1,$C$112:$C$113,0)-1,0)</f>
        <v>1877.4</v>
      </c>
      <c r="I35" s="31">
        <f ca="1">1614.6*OFFSET(I$112,MATCH($N$1,$C$112:$C$113,0)-1,0)</f>
        <v>1614.6</v>
      </c>
      <c r="J35" s="31">
        <f ca="1">1872.5*OFFSET(J$112,MATCH($N$1,$C$112:$C$113,0)-1,0)</f>
        <v>1872.5</v>
      </c>
      <c r="K35" s="31">
        <f ca="1">2008.9*OFFSET(K$112,MATCH($N$1,$C$112:$C$113,0)-1,0)</f>
        <v>2008.9</v>
      </c>
      <c r="L35" s="31">
        <f ca="1">2049.9*OFFSET(L$112,MATCH($N$1,$C$112:$C$113,0)-1,0)</f>
        <v>2049.9</v>
      </c>
      <c r="M35" s="31">
        <f ca="1">2004.3*OFFSET(M$112,MATCH($N$1,$C$112:$C$113,0)-1,0)</f>
        <v>2004.3</v>
      </c>
      <c r="N35" s="31">
        <v>1405.7</v>
      </c>
      <c r="O35" s="28">
        <f t="shared" ca="1" si="0"/>
        <v>-8.524760851174594E-2</v>
      </c>
      <c r="P35" s="28">
        <f t="shared" ca="1" si="1"/>
        <v>-0.24929238985313748</v>
      </c>
    </row>
    <row r="36" spans="1:16" ht="18" customHeight="1">
      <c r="A36" s="178"/>
      <c r="B36" s="40" t="s">
        <v>211</v>
      </c>
      <c r="C36" s="41"/>
      <c r="D36" s="41">
        <f ca="1">540*OFFSET(D$112,MATCH($N$1,$C$112:$C$113,0)-1,0)</f>
        <v>540</v>
      </c>
      <c r="E36" s="41">
        <f ca="1">526*OFFSET(E$112,MATCH($N$1,$C$112:$C$113,0)-1,0)</f>
        <v>526</v>
      </c>
      <c r="F36" s="41">
        <f ca="1">435.3*OFFSET(F$112,MATCH($N$1,$C$112:$C$113,0)-1,0)</f>
        <v>435.3</v>
      </c>
      <c r="G36" s="41">
        <f ca="1">512.2*OFFSET(G$112,MATCH($N$1,$C$112:$C$113,0)-1,0)</f>
        <v>512.20000000000005</v>
      </c>
      <c r="H36" s="41">
        <f ca="1">738.3*OFFSET(H$112,MATCH($N$1,$C$112:$C$113,0)-1,0)</f>
        <v>738.3</v>
      </c>
      <c r="I36" s="41">
        <f ca="1">691.3*OFFSET(I$112,MATCH($N$1,$C$112:$C$113,0)-1,0)</f>
        <v>691.3</v>
      </c>
      <c r="J36" s="41">
        <f ca="1">991.8*OFFSET(J$112,MATCH($N$1,$C$112:$C$113,0)-1,0)</f>
        <v>991.8</v>
      </c>
      <c r="K36" s="41">
        <f ca="1">1022.6*OFFSET(K$112,MATCH($N$1,$C$112:$C$113,0)-1,0)</f>
        <v>1022.6</v>
      </c>
      <c r="L36" s="41">
        <f ca="1">1004.2*OFFSET(L$112,MATCH($N$1,$C$112:$C$113,0)-1,0)</f>
        <v>1004.2</v>
      </c>
      <c r="M36" s="41">
        <f ca="1">1057.4*OFFSET(M$112,MATCH($N$1,$C$112:$C$113,0)-1,0)</f>
        <v>1057.4000000000001</v>
      </c>
      <c r="N36" s="41">
        <v>605</v>
      </c>
      <c r="O36" s="28">
        <f t="shared" ca="1" si="0"/>
        <v>0.12037037037037036</v>
      </c>
      <c r="P36" s="28">
        <f t="shared" ca="1" si="1"/>
        <v>-0.38999798346440812</v>
      </c>
    </row>
    <row r="37" spans="1:16" ht="18" customHeight="1">
      <c r="A37" s="178"/>
      <c r="B37" s="40" t="s">
        <v>212</v>
      </c>
      <c r="C37" s="41"/>
      <c r="D37" s="41">
        <f ca="1">168.2*OFFSET(D$112,MATCH($N$1,$C$112:$C$113,0)-1,0)</f>
        <v>168.2</v>
      </c>
      <c r="E37" s="41">
        <f ca="1">143.4*OFFSET(E$112,MATCH($N$1,$C$112:$C$113,0)-1,0)</f>
        <v>143.4</v>
      </c>
      <c r="F37" s="41">
        <f ca="1">98*OFFSET(F$112,MATCH($N$1,$C$112:$C$113,0)-1,0)</f>
        <v>98</v>
      </c>
      <c r="G37" s="41">
        <f ca="1">142.9*OFFSET(G$112,MATCH($N$1,$C$112:$C$113,0)-1,0)</f>
        <v>142.9</v>
      </c>
      <c r="H37" s="41">
        <f ca="1">271*OFFSET(H$112,MATCH($N$1,$C$112:$C$113,0)-1,0)</f>
        <v>271</v>
      </c>
      <c r="I37" s="41">
        <f ca="1">252.1*OFFSET(I$112,MATCH($N$1,$C$112:$C$113,0)-1,0)</f>
        <v>252.1</v>
      </c>
      <c r="J37" s="41">
        <f ca="1">408.2*OFFSET(J$112,MATCH($N$1,$C$112:$C$113,0)-1,0)</f>
        <v>408.2</v>
      </c>
      <c r="K37" s="41">
        <f ca="1">402*OFFSET(K$112,MATCH($N$1,$C$112:$C$113,0)-1,0)</f>
        <v>402</v>
      </c>
      <c r="L37" s="41">
        <f ca="1">405.5*OFFSET(L$112,MATCH($N$1,$C$112:$C$113,0)-1,0)</f>
        <v>405.5</v>
      </c>
      <c r="M37" s="41">
        <f ca="1">438.8*OFFSET(M$112,MATCH($N$1,$C$112:$C$113,0)-1,0)</f>
        <v>438.8</v>
      </c>
      <c r="N37" s="41">
        <v>199.20000000000002</v>
      </c>
      <c r="O37" s="28">
        <f t="shared" ca="1" si="0"/>
        <v>0.18430439952437591</v>
      </c>
      <c r="P37" s="28">
        <f t="shared" ca="1" si="1"/>
        <v>-0.51200391964723169</v>
      </c>
    </row>
    <row r="38" spans="1:16" ht="18" customHeight="1">
      <c r="A38" s="178"/>
      <c r="B38" s="35" t="s">
        <v>213</v>
      </c>
      <c r="C38" s="31"/>
      <c r="D38" s="31">
        <f ca="1">94.5*OFFSET(D$112,MATCH($N$1,$C$112:$C$113,0)-1,0)</f>
        <v>94.5</v>
      </c>
      <c r="E38" s="31">
        <f ca="1">97.1*OFFSET(E$112,MATCH($N$1,$C$112:$C$113,0)-1,0)</f>
        <v>97.1</v>
      </c>
      <c r="F38" s="31">
        <f ca="1">110.9*OFFSET(F$112,MATCH($N$1,$C$112:$C$113,0)-1,0)</f>
        <v>110.9</v>
      </c>
      <c r="G38" s="31">
        <f ca="1">84.9*OFFSET(G$112,MATCH($N$1,$C$112:$C$113,0)-1,0)</f>
        <v>84.9</v>
      </c>
      <c r="H38" s="31">
        <f ca="1">85.4*OFFSET(H$112,MATCH($N$1,$C$112:$C$113,0)-1,0)</f>
        <v>85.4</v>
      </c>
      <c r="I38" s="31">
        <f ca="1">92*OFFSET(I$112,MATCH($N$1,$C$112:$C$113,0)-1,0)</f>
        <v>92</v>
      </c>
      <c r="J38" s="31">
        <f ca="1">116.2*OFFSET(J$112,MATCH($N$1,$C$112:$C$113,0)-1,0)</f>
        <v>116.2</v>
      </c>
      <c r="K38" s="31">
        <f ca="1">105.8*OFFSET(K$112,MATCH($N$1,$C$112:$C$113,0)-1,0)</f>
        <v>105.8</v>
      </c>
      <c r="L38" s="31">
        <f ca="1">113.3*OFFSET(L$112,MATCH($N$1,$C$112:$C$113,0)-1,0)</f>
        <v>113.3</v>
      </c>
      <c r="M38" s="31">
        <f ca="1">88.1*OFFSET(M$112,MATCH($N$1,$C$112:$C$113,0)-1,0)</f>
        <v>88.1</v>
      </c>
      <c r="N38" s="31"/>
      <c r="O38" s="28" t="str">
        <f t="shared" si="0"/>
        <v/>
      </c>
      <c r="P38" s="28" t="str">
        <f t="shared" si="1"/>
        <v/>
      </c>
    </row>
    <row r="39" spans="1:16" ht="18" customHeight="1">
      <c r="A39" s="178"/>
      <c r="B39" s="35" t="s">
        <v>214</v>
      </c>
      <c r="C39" s="31"/>
      <c r="D39" s="31">
        <f ca="1">26.9*OFFSET(D$112,MATCH($N$1,$C$112:$C$113,0)-1,0)</f>
        <v>26.9</v>
      </c>
      <c r="E39" s="31">
        <f ca="1">27.1*OFFSET(E$112,MATCH($N$1,$C$112:$C$113,0)-1,0)</f>
        <v>27.1</v>
      </c>
      <c r="F39" s="31">
        <f ca="1">31.7*OFFSET(F$112,MATCH($N$1,$C$112:$C$113,0)-1,0)</f>
        <v>31.7</v>
      </c>
      <c r="G39" s="31">
        <f ca="1">15.3*OFFSET(G$112,MATCH($N$1,$C$112:$C$113,0)-1,0)</f>
        <v>15.3</v>
      </c>
      <c r="H39" s="31">
        <f ca="1">19.3*OFFSET(H$112,MATCH($N$1,$C$112:$C$113,0)-1,0)</f>
        <v>19.3</v>
      </c>
      <c r="I39" s="31">
        <f ca="1">10.7*OFFSET(I$112,MATCH($N$1,$C$112:$C$113,0)-1,0)</f>
        <v>10.7</v>
      </c>
      <c r="J39" s="31">
        <f ca="1">13.7*OFFSET(J$112,MATCH($N$1,$C$112:$C$113,0)-1,0)</f>
        <v>13.7</v>
      </c>
      <c r="K39" s="31">
        <f ca="1">12.6*OFFSET(K$112,MATCH($N$1,$C$112:$C$113,0)-1,0)</f>
        <v>12.6</v>
      </c>
      <c r="L39" s="31">
        <f ca="1">13.8*OFFSET(L$112,MATCH($N$1,$C$112:$C$113,0)-1,0)</f>
        <v>13.8</v>
      </c>
      <c r="M39" s="31">
        <f ca="1">15.8*OFFSET(M$112,MATCH($N$1,$C$112:$C$113,0)-1,0)</f>
        <v>15.8</v>
      </c>
      <c r="N39" s="31"/>
      <c r="O39" s="28" t="str">
        <f t="shared" si="0"/>
        <v/>
      </c>
      <c r="P39" s="28" t="str">
        <f t="shared" si="1"/>
        <v/>
      </c>
    </row>
    <row r="40" spans="1:16" ht="18" customHeight="1">
      <c r="A40" s="178"/>
      <c r="B40" s="35" t="s">
        <v>215</v>
      </c>
      <c r="C40" s="31"/>
      <c r="D40" s="31">
        <f ca="1">0.3*OFFSET(D$112,MATCH($N$1,$C$112:$C$113,0)-1,0)</f>
        <v>0.3</v>
      </c>
      <c r="E40" s="31">
        <f ca="1">5.7*OFFSET(E$112,MATCH($N$1,$C$112:$C$113,0)-1,0)</f>
        <v>5.7</v>
      </c>
      <c r="F40" s="31">
        <f ca="1">2.6*OFFSET(F$112,MATCH($N$1,$C$112:$C$113,0)-1,0)</f>
        <v>2.6</v>
      </c>
      <c r="G40" s="31">
        <f ca="1">5.6*OFFSET(G$112,MATCH($N$1,$C$112:$C$113,0)-1,0)</f>
        <v>5.6</v>
      </c>
      <c r="H40" s="31">
        <f ca="1">32.9*OFFSET(H$112,MATCH($N$1,$C$112:$C$113,0)-1,0)</f>
        <v>32.9</v>
      </c>
      <c r="I40" s="31">
        <f ca="1">5*OFFSET(I$112,MATCH($N$1,$C$112:$C$113,0)-1,0)</f>
        <v>5</v>
      </c>
      <c r="J40" s="31">
        <f ca="1">2.8*OFFSET(J$112,MATCH($N$1,$C$112:$C$113,0)-1,0)</f>
        <v>2.8</v>
      </c>
      <c r="K40" s="31">
        <f ca="1">10*OFFSET(K$112,MATCH($N$1,$C$112:$C$113,0)-1,0)</f>
        <v>10</v>
      </c>
      <c r="L40" s="31">
        <f ca="1">5.6*OFFSET(L$112,MATCH($N$1,$C$112:$C$113,0)-1,0)</f>
        <v>5.6</v>
      </c>
      <c r="M40" s="31">
        <f ca="1">6.4*OFFSET(M$112,MATCH($N$1,$C$112:$C$113,0)-1,0)</f>
        <v>6.4</v>
      </c>
      <c r="N40" s="31"/>
      <c r="O40" s="28" t="str">
        <f t="shared" si="0"/>
        <v/>
      </c>
      <c r="P40" s="28" t="str">
        <f t="shared" si="1"/>
        <v/>
      </c>
    </row>
    <row r="41" spans="1:16" ht="18" customHeight="1" thickBot="1">
      <c r="A41" s="179"/>
      <c r="B41" s="42" t="s">
        <v>216</v>
      </c>
      <c r="C41" s="43"/>
      <c r="D41" s="43">
        <f ca="1">46.4*OFFSET(D$112,MATCH($N$1,$C$112:$C$113,0)-1,0)</f>
        <v>46.4</v>
      </c>
      <c r="E41" s="43">
        <f ca="1">13.5*OFFSET(E$112,MATCH($N$1,$C$112:$C$113,0)-1,0)</f>
        <v>13.5</v>
      </c>
      <c r="F41" s="43">
        <f ca="1">-47.2*OFFSET(F$112,MATCH($N$1,$C$112:$C$113,0)-1,0)</f>
        <v>-47.2</v>
      </c>
      <c r="G41" s="43">
        <f ca="1">37.2*OFFSET(G$112,MATCH($N$1,$C$112:$C$113,0)-1,0)</f>
        <v>37.200000000000003</v>
      </c>
      <c r="H41" s="43">
        <f ca="1">133.4*OFFSET(H$112,MATCH($N$1,$C$112:$C$113,0)-1,0)</f>
        <v>133.4</v>
      </c>
      <c r="I41" s="43">
        <f ca="1">144.5*OFFSET(I$112,MATCH($N$1,$C$112:$C$113,0)-1,0)</f>
        <v>144.5</v>
      </c>
      <c r="J41" s="43">
        <f ca="1">275.4*OFFSET(J$112,MATCH($N$1,$C$112:$C$113,0)-1,0)</f>
        <v>275.39999999999998</v>
      </c>
      <c r="K41" s="43">
        <f ca="1">273.6*OFFSET(K$112,MATCH($N$1,$C$112:$C$113,0)-1,0)</f>
        <v>273.60000000000002</v>
      </c>
      <c r="L41" s="43">
        <f ca="1">272.8*OFFSET(L$112,MATCH($N$1,$C$112:$C$113,0)-1,0)</f>
        <v>272.8</v>
      </c>
      <c r="M41" s="43">
        <f ca="1">328.4*OFFSET(M$112,MATCH($N$1,$C$112:$C$113,0)-1,0)</f>
        <v>328.4</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159</v>
      </c>
      <c r="F46" s="90" t="s">
        <v>159</v>
      </c>
      <c r="G46" s="90" t="s">
        <v>159</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NSWOS demersal over 24m</v>
      </c>
      <c r="B48" s="202"/>
      <c r="C48" s="92"/>
      <c r="D48" s="92"/>
      <c r="E48" s="92"/>
      <c r="F48" s="92"/>
      <c r="G48" s="92"/>
      <c r="H48" s="202"/>
      <c r="I48" s="202"/>
      <c r="J48" s="202"/>
      <c r="K48" s="92" t="str">
        <f>$B24&amp;CHAR(10)&amp;$A$1</f>
        <v>Operating profit per kW day at sea (£)
NSWOS demersal over 24m</v>
      </c>
      <c r="L48" s="202"/>
      <c r="M48" s="202"/>
      <c r="N48" s="202"/>
      <c r="O48" s="202"/>
      <c r="P48" s="202"/>
    </row>
    <row r="49" spans="1:11" s="80" customFormat="1">
      <c r="A49" s="92" t="str">
        <f>$B22&amp;CHAR(10)&amp;$A$1</f>
        <v>Fishing income per kW day at sea (£)
NSWOS demersal over 24m</v>
      </c>
      <c r="B49" s="202"/>
      <c r="C49" s="202"/>
      <c r="D49" s="202"/>
      <c r="E49" s="202"/>
      <c r="F49" s="202"/>
      <c r="G49" s="202"/>
      <c r="H49" s="202"/>
      <c r="I49" s="202"/>
      <c r="J49" s="202"/>
      <c r="K49" s="202"/>
    </row>
    <row r="50" spans="1:11" s="80" customFormat="1">
      <c r="A50" s="92" t="str">
        <f>$B20&amp;CHAR(10)&amp;$A$1</f>
        <v>Average price per tonne landed (£)
NSWOS demersal over 24m</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NSWOS demersal over 24m</v>
      </c>
      <c r="C62" s="202"/>
      <c r="D62" s="202"/>
      <c r="E62" s="202"/>
      <c r="F62" s="92" t="str">
        <f>$B20&amp;CHAR(10)&amp;$A$1</f>
        <v>Average price per tonne landed (£)
NSWOS demersal over 24m</v>
      </c>
      <c r="G62" s="202"/>
      <c r="H62" s="202"/>
      <c r="I62" s="202"/>
      <c r="J62" s="202"/>
      <c r="K62" s="92" t="str">
        <f>"Average annual operating profit per vessel (£'000)"&amp;CHAR(10)&amp;$A$1</f>
        <v>Average annual operating profit per vessel (£'000)
NSWOS demersal over 24m</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NSWOS demersal over 24m</v>
      </c>
      <c r="F76" s="92" t="str">
        <f>"Top 5 landed species by value in "&amp;A77&amp;CHAR(10)&amp;A1</f>
        <v>Top 5 landed species by value in 2019
NSWOS demersal over 24m</v>
      </c>
    </row>
    <row r="77" spans="1:11" s="92" customFormat="1">
      <c r="A77" s="92">
        <v>2019</v>
      </c>
      <c r="B77" s="92" t="s">
        <v>441</v>
      </c>
      <c r="C77" s="93">
        <v>0.28877272919575242</v>
      </c>
      <c r="D77" s="94">
        <v>12153634</v>
      </c>
      <c r="G77" s="92" t="s">
        <v>442</v>
      </c>
      <c r="H77" s="93">
        <v>0.23597251989783991</v>
      </c>
      <c r="I77" s="94">
        <v>12153634</v>
      </c>
      <c r="K77" s="92" t="s">
        <v>230</v>
      </c>
    </row>
    <row r="78" spans="1:11" s="92" customFormat="1">
      <c r="B78" s="92" t="s">
        <v>443</v>
      </c>
      <c r="C78" s="93">
        <v>0.16230812920421372</v>
      </c>
      <c r="D78" s="94">
        <v>1692097</v>
      </c>
      <c r="G78" s="92" t="s">
        <v>444</v>
      </c>
      <c r="H78" s="93">
        <v>0.20665207236849292</v>
      </c>
      <c r="I78" s="94">
        <v>553960</v>
      </c>
    </row>
    <row r="79" spans="1:11" s="92" customFormat="1">
      <c r="B79" s="92" t="s">
        <v>445</v>
      </c>
      <c r="C79" s="93">
        <v>0.14256165122477471</v>
      </c>
      <c r="D79" s="94">
        <v>553960</v>
      </c>
      <c r="G79" s="92" t="s">
        <v>446</v>
      </c>
      <c r="H79" s="93">
        <v>0.14483381507625959</v>
      </c>
      <c r="I79" s="94">
        <v>3050596</v>
      </c>
    </row>
    <row r="80" spans="1:11" s="92" customFormat="1">
      <c r="B80" s="92" t="s">
        <v>447</v>
      </c>
      <c r="C80" s="93">
        <v>8.5332952574353763E-2</v>
      </c>
      <c r="D80" s="94">
        <v>3050596</v>
      </c>
      <c r="G80" s="92" t="s">
        <v>448</v>
      </c>
      <c r="H80" s="93">
        <v>7.8924085616969591E-2</v>
      </c>
      <c r="I80" s="94">
        <v>1692097</v>
      </c>
    </row>
    <row r="81" spans="1:19" s="92" customFormat="1">
      <c r="B81" s="92" t="s">
        <v>449</v>
      </c>
      <c r="C81" s="93">
        <v>5.6501417269535052E-2</v>
      </c>
      <c r="D81" s="94">
        <v>11115023</v>
      </c>
      <c r="G81" s="92" t="s">
        <v>450</v>
      </c>
      <c r="H81" s="93">
        <v>5.1984835475505392E-2</v>
      </c>
      <c r="I81" s="94">
        <v>3689192</v>
      </c>
    </row>
    <row r="82" spans="1:19" s="92" customFormat="1">
      <c r="B82" s="92" t="s">
        <v>451</v>
      </c>
      <c r="C82" s="93">
        <v>0.26452312053137028</v>
      </c>
      <c r="D82" s="94">
        <v>5920853</v>
      </c>
      <c r="G82" s="92" t="s">
        <v>452</v>
      </c>
      <c r="H82" s="93">
        <v>0.28163267156493266</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157</v>
      </c>
      <c r="D92" s="98">
        <v>0.16738124454804768</v>
      </c>
      <c r="E92" s="98">
        <v>0.19798689766772579</v>
      </c>
      <c r="F92" s="98">
        <v>0.24304332353727076</v>
      </c>
      <c r="G92" s="98">
        <v>0.24994934063747604</v>
      </c>
      <c r="H92" s="98">
        <v>0.23322583392535906</v>
      </c>
      <c r="I92" s="98">
        <v>0.20905459721103339</v>
      </c>
      <c r="J92" s="98">
        <v>0.22255857074776644</v>
      </c>
      <c r="K92" s="98">
        <v>0.21072709084445845</v>
      </c>
      <c r="L92" s="98">
        <v>0.23597251989783991</v>
      </c>
      <c r="M92" s="98">
        <v>0.21742000469725084</v>
      </c>
      <c r="O92" s="92">
        <v>12153634</v>
      </c>
    </row>
    <row r="93" spans="1:19" s="92" customFormat="1" hidden="1">
      <c r="B93" s="92">
        <v>2</v>
      </c>
      <c r="C93" s="92" t="s">
        <v>241</v>
      </c>
      <c r="D93" s="98">
        <v>0.13758252475728117</v>
      </c>
      <c r="E93" s="98">
        <v>0.12929680107125799</v>
      </c>
      <c r="F93" s="98">
        <v>0.162276433221268</v>
      </c>
      <c r="G93" s="98">
        <v>0.15373297660369384</v>
      </c>
      <c r="H93" s="98">
        <v>0.14857824799557004</v>
      </c>
      <c r="I93" s="98">
        <v>0.14834474945186052</v>
      </c>
      <c r="J93" s="98">
        <v>0.17890482769234956</v>
      </c>
      <c r="K93" s="98">
        <v>0.20565650666950094</v>
      </c>
      <c r="L93" s="98">
        <v>0.20665207236849292</v>
      </c>
      <c r="M93" s="98">
        <v>0.17846232543290783</v>
      </c>
      <c r="O93" s="92">
        <v>553960</v>
      </c>
    </row>
    <row r="94" spans="1:19" s="92" customFormat="1" hidden="1">
      <c r="B94" s="92">
        <v>3</v>
      </c>
      <c r="C94" s="92" t="s">
        <v>161</v>
      </c>
      <c r="D94" s="98">
        <v>0.17681872222768041</v>
      </c>
      <c r="E94" s="98">
        <v>0.13380629787140297</v>
      </c>
      <c r="F94" s="98">
        <v>0.10616418440418927</v>
      </c>
      <c r="G94" s="98">
        <v>0.13414287616751405</v>
      </c>
      <c r="H94" s="98">
        <v>0.14639623999862306</v>
      </c>
      <c r="I94" s="98">
        <v>0.16599606278083104</v>
      </c>
      <c r="J94" s="98">
        <v>0.16952531131681894</v>
      </c>
      <c r="K94" s="98">
        <v>0.16472339753043957</v>
      </c>
      <c r="L94" s="98">
        <v>0.14483381507625959</v>
      </c>
      <c r="M94" s="98">
        <v>0.1848709615205488</v>
      </c>
      <c r="O94" s="92">
        <v>3050596</v>
      </c>
    </row>
    <row r="95" spans="1:19" s="92" customFormat="1" hidden="1">
      <c r="B95" s="92">
        <v>4</v>
      </c>
      <c r="C95" s="92" t="s">
        <v>345</v>
      </c>
      <c r="D95" s="98">
        <v>0.14799098587185736</v>
      </c>
      <c r="E95" s="98">
        <v>0.14016570302181269</v>
      </c>
      <c r="F95" s="98">
        <v>0.12064683341801762</v>
      </c>
      <c r="G95" s="98">
        <v>0.11502475555236419</v>
      </c>
      <c r="H95" s="98">
        <v>0.10082049720664754</v>
      </c>
      <c r="I95" s="98">
        <v>8.6431302475298483E-2</v>
      </c>
      <c r="J95" s="98">
        <v>6.8785045395454922E-2</v>
      </c>
      <c r="K95" s="98">
        <v>6.280002205320076E-2</v>
      </c>
      <c r="L95" s="98">
        <v>7.8924085616969591E-2</v>
      </c>
      <c r="M95" s="98">
        <v>7.7927219215904384E-2</v>
      </c>
      <c r="O95" s="92">
        <v>1692097</v>
      </c>
    </row>
    <row r="96" spans="1:19" s="92" customFormat="1" hidden="1">
      <c r="B96" s="92">
        <v>5</v>
      </c>
      <c r="C96" s="92" t="s">
        <v>169</v>
      </c>
      <c r="D96" s="98"/>
      <c r="E96" s="98"/>
      <c r="F96" s="98"/>
      <c r="G96" s="98"/>
      <c r="H96" s="98"/>
      <c r="I96" s="98"/>
      <c r="J96" s="98"/>
      <c r="K96" s="98"/>
      <c r="L96" s="98">
        <v>5.1984835475505392E-2</v>
      </c>
      <c r="M96" s="98"/>
      <c r="O96" s="92">
        <v>3689192</v>
      </c>
    </row>
    <row r="97" spans="1:15" s="92" customFormat="1" hidden="1">
      <c r="B97" s="92">
        <v>6</v>
      </c>
      <c r="C97" s="92" t="s">
        <v>329</v>
      </c>
      <c r="D97" s="98"/>
      <c r="E97" s="98"/>
      <c r="F97" s="98"/>
      <c r="G97" s="98"/>
      <c r="H97" s="98"/>
      <c r="I97" s="98"/>
      <c r="J97" s="98"/>
      <c r="K97" s="98"/>
      <c r="L97" s="98"/>
      <c r="M97" s="98">
        <v>5.337274624397078E-2</v>
      </c>
      <c r="O97" s="92">
        <v>11115023</v>
      </c>
    </row>
    <row r="98" spans="1:15" s="92" customFormat="1" hidden="1">
      <c r="B98" s="92">
        <v>7</v>
      </c>
      <c r="C98" s="92" t="s">
        <v>168</v>
      </c>
      <c r="D98" s="98">
        <v>8.5444979776301583E-2</v>
      </c>
      <c r="E98" s="98">
        <v>0.12076799805785675</v>
      </c>
      <c r="F98" s="98">
        <v>8.6015902398037164E-2</v>
      </c>
      <c r="G98" s="98">
        <v>7.4115019053803938E-2</v>
      </c>
      <c r="H98" s="98">
        <v>9.779992705768259E-2</v>
      </c>
      <c r="I98" s="98">
        <v>0.11642605102331076</v>
      </c>
      <c r="J98" s="98">
        <v>9.3980744326076157E-2</v>
      </c>
      <c r="K98" s="98">
        <v>8.5725627929065129E-2</v>
      </c>
      <c r="L98" s="98"/>
      <c r="M98" s="98"/>
      <c r="O98" s="92">
        <v>2480382</v>
      </c>
    </row>
    <row r="99" spans="1:15" s="92" customFormat="1" hidden="1">
      <c r="B99" s="92">
        <v>8</v>
      </c>
      <c r="C99" s="92" t="s">
        <v>245</v>
      </c>
      <c r="D99" s="98">
        <v>0.28478154281883183</v>
      </c>
      <c r="E99" s="98">
        <v>0.27797630230994386</v>
      </c>
      <c r="F99" s="98">
        <v>0.28185332302121718</v>
      </c>
      <c r="G99" s="98">
        <v>0.27303503198514795</v>
      </c>
      <c r="H99" s="98">
        <v>0.27317925381611768</v>
      </c>
      <c r="I99" s="98">
        <v>0.27374723705766579</v>
      </c>
      <c r="J99" s="98">
        <v>0.26624550052153395</v>
      </c>
      <c r="K99" s="98">
        <v>0.27036735497333514</v>
      </c>
      <c r="L99" s="98">
        <v>0.2816326715649326</v>
      </c>
      <c r="M99" s="98">
        <v>0.28794674288941735</v>
      </c>
      <c r="O99" s="92">
        <v>5920853</v>
      </c>
    </row>
    <row r="100" spans="1:15" s="92" customFormat="1" hidden="1">
      <c r="B100" s="92">
        <v>9</v>
      </c>
      <c r="D100" s="98"/>
      <c r="E100" s="98"/>
      <c r="F100" s="98"/>
      <c r="G100" s="98"/>
      <c r="H100" s="98"/>
      <c r="I100" s="98"/>
      <c r="J100" s="98"/>
      <c r="K100" s="98"/>
      <c r="L100" s="98"/>
      <c r="M100" s="98"/>
      <c r="O100" s="92">
        <v>8497745</v>
      </c>
    </row>
    <row r="101" spans="1:15" s="92" customFormat="1" hidden="1">
      <c r="B101" s="92">
        <v>10</v>
      </c>
      <c r="D101" s="98"/>
      <c r="E101" s="98"/>
      <c r="F101" s="98"/>
      <c r="G101" s="98"/>
      <c r="H101" s="98"/>
      <c r="I101" s="98"/>
      <c r="J101" s="98"/>
      <c r="K101" s="98"/>
      <c r="L101" s="98"/>
      <c r="M101" s="98"/>
      <c r="O101" s="92">
        <v>14393110</v>
      </c>
    </row>
    <row r="102" spans="1:15" s="92" customFormat="1" hidden="1">
      <c r="B102" s="92">
        <v>11</v>
      </c>
      <c r="D102" s="98"/>
      <c r="E102" s="98"/>
      <c r="F102" s="98"/>
      <c r="G102" s="98"/>
      <c r="H102" s="98"/>
      <c r="I102" s="98"/>
      <c r="J102" s="98"/>
      <c r="K102" s="98"/>
      <c r="L102" s="98"/>
      <c r="M102" s="98"/>
      <c r="O102" s="92">
        <v>2887140</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9</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11</v>
      </c>
      <c r="D120" s="54">
        <v>20</v>
      </c>
      <c r="E120" s="54">
        <v>11</v>
      </c>
      <c r="F120" s="55">
        <v>42</v>
      </c>
    </row>
    <row r="121" spans="1:15" ht="18" customHeight="1">
      <c r="A121" s="173" t="s">
        <v>191</v>
      </c>
      <c r="B121" s="33" t="s">
        <v>192</v>
      </c>
      <c r="C121" s="56">
        <v>28.459091186523438</v>
      </c>
      <c r="D121" s="56">
        <v>27.072000503540039</v>
      </c>
      <c r="E121" s="56">
        <v>33.640907287597656</v>
      </c>
      <c r="F121" s="57">
        <v>29.15571403503418</v>
      </c>
      <c r="G121" s="206"/>
      <c r="H121" s="206"/>
      <c r="I121" s="206"/>
      <c r="J121" s="206"/>
      <c r="K121" s="206"/>
      <c r="L121" s="206"/>
      <c r="M121" s="206"/>
      <c r="N121" s="206"/>
      <c r="O121" s="206"/>
    </row>
    <row r="122" spans="1:15" ht="18" customHeight="1">
      <c r="A122" s="174"/>
      <c r="B122" s="35" t="s">
        <v>184</v>
      </c>
      <c r="C122" s="58">
        <v>696.09088134765625</v>
      </c>
      <c r="D122" s="58">
        <v>728.14999389648438</v>
      </c>
      <c r="E122" s="58">
        <v>1083</v>
      </c>
      <c r="F122" s="59">
        <v>812.69049072265625</v>
      </c>
      <c r="G122" s="206"/>
      <c r="H122" s="206"/>
      <c r="I122" s="206"/>
      <c r="J122" s="206"/>
      <c r="K122" s="206"/>
      <c r="L122" s="206"/>
      <c r="M122" s="206"/>
      <c r="N122" s="206"/>
      <c r="O122" s="206"/>
    </row>
    <row r="123" spans="1:15" ht="18" customHeight="1">
      <c r="A123" s="174"/>
      <c r="B123" s="35" t="s">
        <v>185</v>
      </c>
      <c r="C123" s="58">
        <v>364.6363525390625</v>
      </c>
      <c r="D123" s="58">
        <v>311.15000915527344</v>
      </c>
      <c r="E123" s="58">
        <v>396.45455932617188</v>
      </c>
      <c r="F123" s="59">
        <v>347.5</v>
      </c>
      <c r="G123" s="206"/>
      <c r="H123" s="206"/>
      <c r="I123" s="206"/>
      <c r="J123" s="206"/>
      <c r="K123" s="206"/>
      <c r="L123" s="206"/>
      <c r="M123" s="206"/>
      <c r="N123" s="206"/>
      <c r="O123" s="206"/>
    </row>
    <row r="124" spans="1:15" ht="18" customHeight="1">
      <c r="A124" s="174"/>
      <c r="B124" s="35" t="s">
        <v>186</v>
      </c>
      <c r="C124" s="58">
        <v>555.476318359375</v>
      </c>
      <c r="D124" s="58">
        <v>552.1051025390625</v>
      </c>
      <c r="E124" s="58">
        <v>774.356689453125</v>
      </c>
      <c r="F124" s="59">
        <v>611.19677734375</v>
      </c>
      <c r="G124" s="206"/>
      <c r="H124" s="206"/>
      <c r="I124" s="206"/>
      <c r="J124" s="206"/>
      <c r="K124" s="206"/>
      <c r="L124" s="206"/>
      <c r="M124" s="206"/>
      <c r="N124" s="206"/>
      <c r="O124" s="206"/>
    </row>
    <row r="125" spans="1:15" ht="18" customHeight="1">
      <c r="A125" s="174"/>
      <c r="B125" s="35" t="s">
        <v>187</v>
      </c>
      <c r="C125" s="31">
        <v>1655.0386962890625</v>
      </c>
      <c r="D125" s="31">
        <v>1036.9718322753906</v>
      </c>
      <c r="E125" s="31">
        <v>656.468505859375</v>
      </c>
      <c r="F125" s="60">
        <v>1099.1907958984375</v>
      </c>
      <c r="G125" s="206"/>
      <c r="H125" s="206"/>
      <c r="I125" s="206"/>
      <c r="J125" s="206"/>
      <c r="K125" s="206"/>
      <c r="L125" s="206"/>
      <c r="M125" s="206"/>
      <c r="N125" s="206"/>
      <c r="O125" s="206"/>
    </row>
    <row r="126" spans="1:15" ht="18" customHeight="1">
      <c r="A126" s="174"/>
      <c r="B126" s="35" t="s">
        <v>193</v>
      </c>
      <c r="C126" s="31">
        <f ca="1">3628.036*OFFSET($L$112,MATCH($N$1,$C$112:$C$113,0)-1,0)</f>
        <v>3628.0360000000001</v>
      </c>
      <c r="D126" s="31">
        <f ca="1">2188.595375*OFFSET($L$112,MATCH($N$1,$C$112:$C$113,0)-1,0)</f>
        <v>2188.5953749999999</v>
      </c>
      <c r="E126" s="31">
        <f ca="1">1206.58725*OFFSET($L$112,MATCH($N$1,$C$112:$C$113,0)-1,0)</f>
        <v>1206.58725</v>
      </c>
      <c r="F126" s="60">
        <f ca="1">2308.39925*OFFSET($L$112,MATCH($N$1,$C$112:$C$113,0)-1,0)</f>
        <v>2308.3992499999999</v>
      </c>
      <c r="G126" s="206"/>
      <c r="H126" s="206"/>
      <c r="I126" s="206"/>
      <c r="J126" s="206"/>
      <c r="K126" s="206"/>
      <c r="L126" s="206"/>
      <c r="M126" s="206"/>
      <c r="N126" s="206"/>
      <c r="O126" s="206"/>
    </row>
    <row r="127" spans="1:15" ht="18" customHeight="1">
      <c r="A127" s="174"/>
      <c r="B127" s="35" t="s">
        <v>189</v>
      </c>
      <c r="C127" s="58">
        <v>255.18182373046875</v>
      </c>
      <c r="D127" s="58">
        <v>206.14999389648438</v>
      </c>
      <c r="E127" s="58">
        <v>199.72727966308594</v>
      </c>
      <c r="F127" s="59">
        <v>217.30952453613281</v>
      </c>
      <c r="G127" s="206"/>
      <c r="H127" s="206"/>
      <c r="I127" s="206"/>
      <c r="J127" s="206"/>
      <c r="K127" s="206"/>
      <c r="L127" s="206"/>
      <c r="M127" s="206"/>
      <c r="N127" s="206"/>
      <c r="O127" s="206"/>
    </row>
    <row r="128" spans="1:15" ht="18" customHeight="1">
      <c r="A128" s="174"/>
      <c r="B128" s="35" t="s">
        <v>194</v>
      </c>
      <c r="C128" s="58">
        <v>15.181818008422852</v>
      </c>
      <c r="D128" s="58">
        <v>21.050000190734863</v>
      </c>
      <c r="E128" s="58">
        <v>24.454545974731445</v>
      </c>
      <c r="F128" s="59">
        <v>20.404762268066406</v>
      </c>
      <c r="G128" s="206"/>
      <c r="H128" s="206"/>
      <c r="I128" s="206"/>
      <c r="J128" s="206"/>
      <c r="K128" s="206"/>
      <c r="L128" s="206"/>
      <c r="M128" s="206"/>
      <c r="N128" s="206"/>
      <c r="O128" s="206"/>
    </row>
    <row r="129" spans="1:15" ht="18" customHeight="1">
      <c r="A129" s="174"/>
      <c r="B129" s="35" t="s">
        <v>195</v>
      </c>
      <c r="C129" s="61">
        <v>6.4857234954833984</v>
      </c>
      <c r="D129" s="61">
        <v>5.0301812417035192</v>
      </c>
      <c r="E129" s="61">
        <v>3.2868244647979736</v>
      </c>
      <c r="F129" s="62">
        <v>5.0581803321838379</v>
      </c>
      <c r="G129" s="206"/>
      <c r="H129" s="206"/>
      <c r="I129" s="206"/>
      <c r="J129" s="206"/>
      <c r="K129" s="206"/>
      <c r="L129" s="206"/>
      <c r="M129" s="206"/>
      <c r="N129" s="206"/>
      <c r="O129" s="206"/>
    </row>
    <row r="130" spans="1:15" ht="18" customHeight="1">
      <c r="A130" s="175"/>
      <c r="B130" s="37" t="s">
        <v>196</v>
      </c>
      <c r="C130" s="38">
        <f ca="1">2192.11551254651*OFFSET($L$112,MATCH($N$1,$C$112:$C$113,0)-1,0)</f>
        <v>2192.1155125465102</v>
      </c>
      <c r="D130" s="38">
        <f ca="1">2110.56395832628*OFFSET($L$112,MATCH($N$1,$C$112:$C$113,0)-1,0)</f>
        <v>2110.56395832628</v>
      </c>
      <c r="E130" s="38">
        <f ca="1">1837.99716091554*OFFSET($L$112,MATCH($N$1,$C$112:$C$113,0)-1,0)</f>
        <v>1837.99716091554</v>
      </c>
      <c r="F130" s="63">
        <f ca="1">2100*OFFSET($L$112,MATCH($N$1,$C$112:$C$113,0)-1,0)</f>
        <v>2100</v>
      </c>
      <c r="G130" s="206"/>
      <c r="H130" s="206"/>
      <c r="I130" s="206"/>
      <c r="J130" s="206"/>
      <c r="K130" s="206"/>
      <c r="L130" s="206"/>
      <c r="M130" s="206"/>
      <c r="N130" s="206"/>
      <c r="O130" s="206"/>
    </row>
    <row r="131" spans="1:15" ht="18" customHeight="1">
      <c r="A131" s="184" t="s">
        <v>197</v>
      </c>
      <c r="B131" s="33" t="s">
        <v>198</v>
      </c>
      <c r="C131" s="64">
        <v>9.2485531192181529</v>
      </c>
      <c r="D131" s="64">
        <v>6.4902598243417176</v>
      </c>
      <c r="E131" s="64">
        <v>2.7647023419828964</v>
      </c>
      <c r="F131" s="65">
        <v>5.9371070047913292</v>
      </c>
      <c r="G131" s="206"/>
      <c r="H131" s="206"/>
      <c r="I131" s="206"/>
      <c r="J131" s="206"/>
      <c r="K131" s="206"/>
      <c r="L131" s="206"/>
      <c r="M131" s="206"/>
      <c r="N131" s="206"/>
      <c r="O131" s="206"/>
    </row>
    <row r="132" spans="1:15" ht="18" customHeight="1">
      <c r="A132" s="185"/>
      <c r="B132" s="35" t="s">
        <v>199</v>
      </c>
      <c r="C132" s="61">
        <f ca="1">20.2738967612485*OFFSET($L$112,MATCH($N$1,$C$112:$C$113,0)-1,0)</f>
        <v>20.273896761248501</v>
      </c>
      <c r="D132" s="61">
        <f ca="1">13.6981084654287*OFFSET($L$112,MATCH($N$1,$C$112:$C$113,0)-1,0)</f>
        <v>13.6981084654287</v>
      </c>
      <c r="E132" s="61">
        <f ca="1">5.08151505534112*OFFSET($L$112,MATCH($N$1,$C$112:$C$113,0)-1,0)</f>
        <v>5.0815150553411197</v>
      </c>
      <c r="F132" s="62">
        <f ca="1">12.4684571670089*OFFSET($L$112,MATCH($N$1,$C$112:$C$113,0)-1,0)</f>
        <v>12.4684571670089</v>
      </c>
      <c r="G132" s="206"/>
      <c r="H132" s="206"/>
      <c r="I132" s="206"/>
      <c r="J132" s="206"/>
      <c r="K132" s="206"/>
      <c r="L132" s="206"/>
      <c r="M132" s="206"/>
      <c r="N132" s="206"/>
      <c r="O132" s="206"/>
    </row>
    <row r="133" spans="1:15" ht="18" customHeight="1">
      <c r="A133" s="185"/>
      <c r="B133" s="35" t="s">
        <v>154</v>
      </c>
      <c r="C133" s="61">
        <f ca="1">15.2177125908178*OFFSET($L$112,MATCH($N$1,$C$112:$C$113,0)-1,0)</f>
        <v>15.217712590817801</v>
      </c>
      <c r="D133" s="61">
        <f ca="1">11.0249520146043*OFFSET($L$112,MATCH($N$1,$C$112:$C$113,0)-1,0)</f>
        <v>11.024952014604301</v>
      </c>
      <c r="E133" s="61">
        <f ca="1">5.10699867279235*OFFSET($L$112,MATCH($N$1,$C$112:$C$113,0)-1,0)</f>
        <v>5.1069986727923498</v>
      </c>
      <c r="F133" s="62">
        <f ca="1">10.0985097018256*OFFSET($L$112,MATCH($N$1,$C$112:$C$113,0)-1,0)</f>
        <v>10.0985097018256</v>
      </c>
      <c r="G133" s="206"/>
      <c r="H133" s="206"/>
      <c r="I133" s="206"/>
      <c r="J133" s="206"/>
      <c r="K133" s="206"/>
      <c r="L133" s="206"/>
      <c r="M133" s="206"/>
      <c r="N133" s="206"/>
      <c r="O133" s="206"/>
    </row>
    <row r="134" spans="1:15" ht="18" customHeight="1">
      <c r="A134" s="186"/>
      <c r="B134" s="37" t="s">
        <v>155</v>
      </c>
      <c r="C134" s="66">
        <f ca="1">5.05618417043064*OFFSET($L$112,MATCH($N$1,$C$112:$C$113,0)-1,0)</f>
        <v>5.0561841704306403</v>
      </c>
      <c r="D134" s="66">
        <f ca="1">2.67315645082439*OFFSET($L$112,MATCH($N$1,$C$112:$C$113,0)-1,0)</f>
        <v>2.6731564508243899</v>
      </c>
      <c r="E134" s="66">
        <f ca="1">-0.0254836174512309*OFFSET($L$112,MATCH($N$1,$C$112:$C$113,0)-1,0)</f>
        <v>-2.54836174512309E-2</v>
      </c>
      <c r="F134" s="67">
        <f ca="1">2.36994746518328*OFFSET($L$112,MATCH($N$1,$C$112:$C$113,0)-1,0)</f>
        <v>2.3699474651832801</v>
      </c>
      <c r="G134" s="206"/>
      <c r="H134" s="206"/>
      <c r="I134" s="206"/>
      <c r="J134" s="206"/>
      <c r="K134" s="206"/>
      <c r="L134" s="206"/>
      <c r="M134" s="206"/>
      <c r="N134" s="206"/>
      <c r="O134" s="206"/>
    </row>
    <row r="135" spans="1:15" ht="18" customHeight="1">
      <c r="A135" s="187" t="s">
        <v>254</v>
      </c>
      <c r="B135" s="35" t="s">
        <v>255</v>
      </c>
      <c r="C135" s="68">
        <f ca="1">457.82875*OFFSET($L$112,MATCH($N$1,$C$112:$C$113,0)-1,0)</f>
        <v>457.82875000000001</v>
      </c>
      <c r="D135" s="68">
        <f ca="1">394.90534375*OFFSET($L$112,MATCH($N$1,$C$112:$C$113,0)-1,0)</f>
        <v>394.90534374999999</v>
      </c>
      <c r="E135" s="68">
        <f ca="1">459.2279375*OFFSET($L$112,MATCH($N$1,$C$112:$C$113,0)-1,0)</f>
        <v>459.2279375</v>
      </c>
      <c r="F135" s="69">
        <f ca="1">428.23165625*OFFSET($L$112,MATCH($N$1,$C$112:$C$113,0)-1,0)</f>
        <v>428.23165625000001</v>
      </c>
      <c r="G135" s="206"/>
      <c r="H135" s="206"/>
      <c r="I135" s="206"/>
      <c r="J135" s="206"/>
      <c r="K135" s="206"/>
      <c r="L135" s="206"/>
      <c r="M135" s="206"/>
      <c r="N135" s="206"/>
      <c r="O135" s="206"/>
    </row>
    <row r="136" spans="1:15" ht="18" customHeight="1">
      <c r="A136" s="188"/>
      <c r="B136" s="35" t="s">
        <v>256</v>
      </c>
      <c r="C136" s="30">
        <v>873031.8432018758</v>
      </c>
      <c r="D136" s="30">
        <v>753842.47140922025</v>
      </c>
      <c r="E136" s="30">
        <v>873563.62595008314</v>
      </c>
      <c r="F136" s="70">
        <v>816414.28571428568</v>
      </c>
      <c r="G136" s="206"/>
      <c r="H136" s="206"/>
      <c r="I136" s="206"/>
      <c r="J136" s="206"/>
      <c r="K136" s="206"/>
      <c r="L136" s="206"/>
      <c r="M136" s="206"/>
      <c r="N136" s="206"/>
      <c r="O136" s="206"/>
    </row>
    <row r="137" spans="1:15" ht="18" customHeight="1">
      <c r="A137" s="188"/>
      <c r="B137" s="35" t="s">
        <v>257</v>
      </c>
      <c r="C137" s="30">
        <v>3421.21484375</v>
      </c>
      <c r="D137" s="30">
        <v>3656.7668868705023</v>
      </c>
      <c r="E137" s="30">
        <v>4373.7822265625</v>
      </c>
      <c r="F137" s="70">
        <v>3756.9189453125</v>
      </c>
      <c r="G137" s="206"/>
      <c r="H137" s="206"/>
      <c r="I137" s="206"/>
      <c r="J137" s="206"/>
      <c r="K137" s="206"/>
      <c r="L137" s="206"/>
      <c r="M137" s="206"/>
      <c r="N137" s="206"/>
      <c r="O137" s="206"/>
    </row>
    <row r="138" spans="1:15" ht="18" customHeight="1">
      <c r="A138" s="188"/>
      <c r="B138" s="35" t="s">
        <v>258</v>
      </c>
      <c r="C138" s="30">
        <f ca="1">1794.12758834882*OFFSET($L$112,MATCH($N$1,$C$112:$C$113,0)-1,0)</f>
        <v>1794.1275883488199</v>
      </c>
      <c r="D138" s="30">
        <f ca="1">1915.62141858853*OFFSET($L$112,MATCH($N$1,$C$112:$C$113,0)-1,0)</f>
        <v>1915.6214185885301</v>
      </c>
      <c r="E138" s="30">
        <f ca="1">2299.27498273975*OFFSET($L$112,MATCH($N$1,$C$112:$C$113,0)-1,0)</f>
        <v>2299.2749827397502</v>
      </c>
      <c r="F138" s="70">
        <f ca="1">1970.60693572498*OFFSET($L$112,MATCH($N$1,$C$112:$C$113,0)-1,0)</f>
        <v>1970.6069357249801</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276.627217856928*OFFSET($L$112,MATCH($N$1,$C$112:$C$113,0)-1,0)</f>
        <v>276.62721785692798</v>
      </c>
      <c r="D139" s="30">
        <f ca="1">380.825526266681*OFFSET($L$112,MATCH($N$1,$C$112:$C$113,0)-1,0)</f>
        <v>380.82552626668098</v>
      </c>
      <c r="E139" s="30">
        <f ca="1">699.542984013879*OFFSET($L$112,MATCH($N$1,$C$112:$C$113,0)-1,0)</f>
        <v>699.54298401387905</v>
      </c>
      <c r="F139" s="70">
        <f ca="1">389.588102309372*OFFSET($L$112,MATCH($N$1,$C$112:$C$113,0)-1,0)</f>
        <v>389.588102309372</v>
      </c>
      <c r="G139" s="206"/>
      <c r="H139" s="206"/>
      <c r="I139" s="46"/>
      <c r="J139" s="206"/>
      <c r="K139" s="71" t="s">
        <v>260</v>
      </c>
      <c r="L139" s="72">
        <f t="shared" ref="L139:M141" ca="1" si="2">C140</f>
        <v>3839.6849999999999</v>
      </c>
      <c r="M139" s="72">
        <f t="shared" ca="1" si="2"/>
        <v>2316.2714375</v>
      </c>
      <c r="N139" s="72">
        <f ca="1">E140</f>
        <v>1276.9760000000001</v>
      </c>
      <c r="O139" s="72"/>
    </row>
    <row r="140" spans="1:15" ht="18" customHeight="1">
      <c r="A140" s="166" t="s">
        <v>261</v>
      </c>
      <c r="B140" s="33" t="s">
        <v>262</v>
      </c>
      <c r="C140" s="73">
        <f ca="1">3839.685*OFFSET($L$112,MATCH($N$1,$C$112:$C$113,0)-1,0)</f>
        <v>3839.6849999999999</v>
      </c>
      <c r="D140" s="73">
        <f ca="1">2316.2714375*OFFSET($L$112,MATCH($N$1,$C$112:$C$113,0)-1,0)</f>
        <v>2316.2714375</v>
      </c>
      <c r="E140" s="73">
        <f ca="1">1276.976*OFFSET($L$112,MATCH($N$1,$C$112:$C$113,0)-1,0)</f>
        <v>1276.9760000000001</v>
      </c>
      <c r="F140" s="74">
        <f ca="1">2443.06425*OFFSET($L$112,MATCH($N$1,$C$112:$C$113,0)-1,0)</f>
        <v>2443.0642499999999</v>
      </c>
      <c r="G140" s="206"/>
      <c r="H140" s="206"/>
      <c r="I140" s="46"/>
      <c r="J140" s="206"/>
      <c r="K140" s="71" t="s">
        <v>263</v>
      </c>
      <c r="L140" s="72">
        <f t="shared" ca="1" si="2"/>
        <v>2934.8752500000001</v>
      </c>
      <c r="M140" s="72">
        <f t="shared" ca="1" si="2"/>
        <v>1889.17175</v>
      </c>
      <c r="N140" s="72">
        <f ca="1">E141</f>
        <v>1283.027</v>
      </c>
      <c r="O140" s="72"/>
    </row>
    <row r="141" spans="1:15" ht="18" customHeight="1">
      <c r="A141" s="167"/>
      <c r="B141" s="35" t="s">
        <v>264</v>
      </c>
      <c r="C141" s="30">
        <f ca="1">2934.87525*OFFSET($L$112,MATCH($N$1,$C$112:$C$113,0)-1,0)</f>
        <v>2934.8752500000001</v>
      </c>
      <c r="D141" s="30">
        <f ca="1">1889.17175*OFFSET($L$112,MATCH($N$1,$C$112:$C$113,0)-1,0)</f>
        <v>1889.17175</v>
      </c>
      <c r="E141" s="30">
        <f ca="1">1283.027*OFFSET($L$112,MATCH($N$1,$C$112:$C$113,0)-1,0)</f>
        <v>1283.027</v>
      </c>
      <c r="F141" s="70">
        <f ca="1">2004.294375*OFFSET($L$112,MATCH($N$1,$C$112:$C$113,0)-1,0)</f>
        <v>2004.2943749999999</v>
      </c>
      <c r="G141" s="206"/>
      <c r="H141" s="206"/>
      <c r="I141" s="46"/>
      <c r="J141" s="206"/>
      <c r="K141" s="71" t="s">
        <v>265</v>
      </c>
      <c r="L141" s="72">
        <f t="shared" ca="1" si="2"/>
        <v>904.80975000000001</v>
      </c>
      <c r="M141" s="72">
        <f t="shared" ca="1" si="2"/>
        <v>427.09968750000002</v>
      </c>
      <c r="N141" s="72">
        <f ca="1">E142</f>
        <v>-6.0510000000000002</v>
      </c>
      <c r="O141" s="72"/>
    </row>
    <row r="142" spans="1:15" ht="18" customHeight="1">
      <c r="A142" s="168"/>
      <c r="B142" s="37" t="s">
        <v>266</v>
      </c>
      <c r="C142" s="38">
        <f ca="1">904.80975*OFFSET($L$112,MATCH($N$1,$C$112:$C$113,0)-1,0)</f>
        <v>904.80975000000001</v>
      </c>
      <c r="D142" s="38">
        <f ca="1">427.0996875*OFFSET($L$112,MATCH($N$1,$C$112:$C$113,0)-1,0)</f>
        <v>427.09968750000002</v>
      </c>
      <c r="E142" s="38">
        <f ca="1">-6.051*OFFSET($L$112,MATCH($N$1,$C$112:$C$113,0)-1,0)</f>
        <v>-6.0510000000000002</v>
      </c>
      <c r="F142" s="63">
        <f ca="1">438.77*OFFSET($L$112,MATCH($N$1,$C$112:$C$113,0)-1,0)</f>
        <v>438.77</v>
      </c>
      <c r="G142" s="206"/>
      <c r="H142" s="206"/>
      <c r="I142" s="46"/>
      <c r="J142" s="206"/>
      <c r="K142" s="71" t="s">
        <v>267</v>
      </c>
      <c r="L142" s="75">
        <f ca="1">IFERROR(L140/L$139,"")</f>
        <v>0.76435313053023879</v>
      </c>
      <c r="M142" s="75">
        <f t="shared" ref="M142:N143" ca="1" si="3">IFERROR(M140/M$139,"")</f>
        <v>0.8156089650870203</v>
      </c>
      <c r="N142" s="75">
        <f t="shared" ca="1" si="3"/>
        <v>1.004738538547318</v>
      </c>
      <c r="O142" s="75"/>
    </row>
    <row r="143" spans="1:15" ht="18" customHeight="1">
      <c r="A143" s="206"/>
      <c r="B143" s="206"/>
      <c r="C143" s="206"/>
      <c r="D143" s="206"/>
      <c r="E143" s="206"/>
      <c r="F143" s="206"/>
      <c r="G143" s="206"/>
      <c r="H143" s="206"/>
      <c r="I143" s="46"/>
      <c r="J143" s="206"/>
      <c r="K143" s="71" t="s">
        <v>268</v>
      </c>
      <c r="L143" s="75">
        <f ca="1">IFERROR(L141/L$139,"")</f>
        <v>0.23564686946976118</v>
      </c>
      <c r="M143" s="75">
        <f t="shared" ca="1" si="3"/>
        <v>0.18439103491297962</v>
      </c>
      <c r="N143" s="75">
        <f t="shared" ca="1" si="3"/>
        <v>-4.7385385473180386E-3</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9</v>
      </c>
      <c r="B161" s="51"/>
      <c r="C161" s="76" t="s">
        <v>249</v>
      </c>
      <c r="D161" s="76" t="s">
        <v>270</v>
      </c>
      <c r="E161" s="76" t="s">
        <v>251</v>
      </c>
      <c r="F161" s="76" t="s">
        <v>271</v>
      </c>
      <c r="G161" s="77">
        <v>10</v>
      </c>
      <c r="H161" s="76"/>
      <c r="I161" s="76" t="s">
        <v>249</v>
      </c>
      <c r="J161" s="76" t="s">
        <v>270</v>
      </c>
      <c r="K161" s="76" t="s">
        <v>251</v>
      </c>
      <c r="L161" s="51" t="s">
        <v>271</v>
      </c>
      <c r="R161" s="206"/>
      <c r="S161" s="206"/>
    </row>
    <row r="162" spans="1:19" s="46" customFormat="1">
      <c r="A162" s="47">
        <v>1</v>
      </c>
      <c r="B162" s="51" t="s">
        <v>157</v>
      </c>
      <c r="C162" s="51">
        <v>0.40959889940949523</v>
      </c>
      <c r="D162" s="51">
        <v>0.28373431342962857</v>
      </c>
      <c r="E162" s="51">
        <v>5.6118568438012696E-2</v>
      </c>
      <c r="F162" s="47">
        <v>12153634</v>
      </c>
      <c r="G162" s="47">
        <v>1</v>
      </c>
      <c r="H162" s="51" t="s">
        <v>241</v>
      </c>
      <c r="I162" s="51">
        <v>0.22167648476591706</v>
      </c>
      <c r="J162" s="51">
        <v>0.25063557568997047</v>
      </c>
      <c r="K162" s="51">
        <v>8.126889189368193E-2</v>
      </c>
      <c r="L162" s="47">
        <v>553960</v>
      </c>
      <c r="R162" s="206"/>
      <c r="S162" s="206"/>
    </row>
    <row r="163" spans="1:19" s="46" customFormat="1">
      <c r="A163" s="47">
        <v>2</v>
      </c>
      <c r="B163" s="51" t="s">
        <v>241</v>
      </c>
      <c r="C163" s="51">
        <v>0.15895791283033109</v>
      </c>
      <c r="D163" s="51">
        <v>0.17065098065759596</v>
      </c>
      <c r="E163" s="51">
        <v>5.5129986477040961E-2</v>
      </c>
      <c r="F163" s="47">
        <v>553960</v>
      </c>
      <c r="G163" s="47">
        <v>2</v>
      </c>
      <c r="H163" s="51" t="s">
        <v>157</v>
      </c>
      <c r="I163" s="51">
        <v>0.33775710410974868</v>
      </c>
      <c r="J163" s="51">
        <v>0.21837425572614128</v>
      </c>
      <c r="K163" s="51">
        <v>0</v>
      </c>
      <c r="L163" s="47">
        <v>12153634</v>
      </c>
      <c r="N163" s="46" t="s">
        <v>272</v>
      </c>
      <c r="R163" s="206"/>
      <c r="S163" s="206"/>
    </row>
    <row r="164" spans="1:19" s="46" customFormat="1">
      <c r="A164" s="47">
        <v>3</v>
      </c>
      <c r="B164" s="51" t="s">
        <v>345</v>
      </c>
      <c r="C164" s="51">
        <v>0.11604067103964756</v>
      </c>
      <c r="D164" s="51">
        <v>0.16246118949711699</v>
      </c>
      <c r="E164" s="51">
        <v>0.31143407129782202</v>
      </c>
      <c r="F164" s="47">
        <v>1692097</v>
      </c>
      <c r="G164" s="47">
        <v>3</v>
      </c>
      <c r="H164" s="51" t="s">
        <v>161</v>
      </c>
      <c r="I164" s="51">
        <v>0.12555770179410397</v>
      </c>
      <c r="J164" s="51">
        <v>0.20543426279310475</v>
      </c>
      <c r="K164" s="51">
        <v>0</v>
      </c>
      <c r="L164" s="47">
        <v>3050596</v>
      </c>
      <c r="N164" s="46" t="s">
        <v>273</v>
      </c>
      <c r="R164" s="206"/>
      <c r="S164" s="206"/>
    </row>
    <row r="165" spans="1:19" s="46" customFormat="1">
      <c r="A165" s="47">
        <v>4</v>
      </c>
      <c r="B165" s="51" t="s">
        <v>161</v>
      </c>
      <c r="C165" s="51">
        <v>7.7599734443436222E-2</v>
      </c>
      <c r="D165" s="51">
        <v>0.11958774144099413</v>
      </c>
      <c r="E165" s="51">
        <v>0</v>
      </c>
      <c r="F165" s="47">
        <v>3050596</v>
      </c>
      <c r="G165" s="47">
        <v>4</v>
      </c>
      <c r="H165" s="51" t="s">
        <v>345</v>
      </c>
      <c r="I165" s="51">
        <v>6.1745948163111013E-2</v>
      </c>
      <c r="J165" s="51">
        <v>7.8693548131976682E-2</v>
      </c>
      <c r="K165" s="51">
        <v>0.15169748751778472</v>
      </c>
      <c r="L165" s="47">
        <v>1692097</v>
      </c>
      <c r="R165" s="206"/>
      <c r="S165" s="206"/>
    </row>
    <row r="166" spans="1:19" s="46" customFormat="1">
      <c r="A166" s="47">
        <v>5</v>
      </c>
      <c r="B166" s="51" t="s">
        <v>343</v>
      </c>
      <c r="C166" s="51">
        <v>5.6915130523202108E-2</v>
      </c>
      <c r="D166" s="51">
        <v>6.5090120606638241E-2</v>
      </c>
      <c r="E166" s="51">
        <v>0</v>
      </c>
      <c r="F166" s="47">
        <v>2480382</v>
      </c>
      <c r="G166" s="47">
        <v>5</v>
      </c>
      <c r="H166" s="51" t="s">
        <v>343</v>
      </c>
      <c r="I166" s="51">
        <v>0</v>
      </c>
      <c r="J166" s="51">
        <v>5.4045581919457776E-2</v>
      </c>
      <c r="K166" s="51">
        <v>0</v>
      </c>
      <c r="L166" s="47">
        <v>2480382</v>
      </c>
      <c r="R166" s="206"/>
      <c r="S166" s="206"/>
    </row>
    <row r="167" spans="1:19" s="46" customFormat="1">
      <c r="A167" s="47">
        <v>6</v>
      </c>
      <c r="B167" s="51" t="s">
        <v>168</v>
      </c>
      <c r="C167" s="51">
        <v>0</v>
      </c>
      <c r="D167" s="51">
        <v>0</v>
      </c>
      <c r="E167" s="51">
        <v>0.22742881614841054</v>
      </c>
      <c r="F167" s="47">
        <v>7434864</v>
      </c>
      <c r="G167" s="47">
        <v>6</v>
      </c>
      <c r="H167" s="51" t="s">
        <v>168</v>
      </c>
      <c r="I167" s="51">
        <v>0</v>
      </c>
      <c r="J167" s="51">
        <v>0</v>
      </c>
      <c r="K167" s="51">
        <v>0.21573082303223073</v>
      </c>
      <c r="L167" s="47">
        <v>7434864</v>
      </c>
      <c r="R167" s="206"/>
      <c r="S167" s="206"/>
    </row>
    <row r="168" spans="1:19" s="46" customFormat="1">
      <c r="A168" s="47">
        <v>7</v>
      </c>
      <c r="B168" s="51" t="s">
        <v>329</v>
      </c>
      <c r="C168" s="51">
        <v>0</v>
      </c>
      <c r="D168" s="51">
        <v>0</v>
      </c>
      <c r="E168" s="51">
        <v>4.9735167496645971E-2</v>
      </c>
      <c r="F168" s="47">
        <v>11115023</v>
      </c>
      <c r="G168" s="47">
        <v>7</v>
      </c>
      <c r="H168" s="51" t="s">
        <v>169</v>
      </c>
      <c r="I168" s="51">
        <v>5.3914149033842347E-2</v>
      </c>
      <c r="J168" s="51">
        <v>0</v>
      </c>
      <c r="K168" s="51">
        <v>9.9155191221074662E-2</v>
      </c>
      <c r="L168" s="47">
        <v>3689192</v>
      </c>
      <c r="R168" s="206"/>
      <c r="S168" s="206"/>
    </row>
    <row r="169" spans="1:19" s="46" customFormat="1">
      <c r="A169" s="47">
        <v>8</v>
      </c>
      <c r="B169" s="51" t="s">
        <v>245</v>
      </c>
      <c r="C169" s="51">
        <v>0.18088765175388777</v>
      </c>
      <c r="D169" s="51">
        <v>0.19847565436802617</v>
      </c>
      <c r="E169" s="51">
        <v>0.30015339014206788</v>
      </c>
      <c r="F169" s="47">
        <v>5920853</v>
      </c>
      <c r="G169" s="47">
        <v>8</v>
      </c>
      <c r="H169" s="51" t="s">
        <v>160</v>
      </c>
      <c r="I169" s="51">
        <v>0</v>
      </c>
      <c r="J169" s="51">
        <v>0</v>
      </c>
      <c r="K169" s="51">
        <v>7.6898470734122634E-2</v>
      </c>
      <c r="L169" s="47">
        <v>8497745</v>
      </c>
      <c r="R169" s="206"/>
      <c r="S169" s="206"/>
    </row>
    <row r="170" spans="1:19" s="46" customFormat="1">
      <c r="A170" s="47">
        <v>9</v>
      </c>
      <c r="B170" s="51"/>
      <c r="C170" s="51">
        <v>0</v>
      </c>
      <c r="D170" s="51">
        <v>0</v>
      </c>
      <c r="E170" s="51">
        <v>0</v>
      </c>
      <c r="F170" s="47"/>
      <c r="G170" s="47">
        <v>9</v>
      </c>
      <c r="H170" s="51" t="s">
        <v>245</v>
      </c>
      <c r="I170" s="51">
        <v>0.19934861213327693</v>
      </c>
      <c r="J170" s="51">
        <v>0.19281677573934908</v>
      </c>
      <c r="K170" s="51">
        <v>0.3752491356011054</v>
      </c>
      <c r="L170" s="47">
        <v>5920853</v>
      </c>
      <c r="R170" s="206"/>
      <c r="S170" s="206"/>
    </row>
    <row r="171" spans="1:19" s="46" customFormat="1">
      <c r="A171" s="47">
        <v>10</v>
      </c>
      <c r="B171" s="51"/>
      <c r="C171" s="51">
        <v>0</v>
      </c>
      <c r="D171" s="51">
        <v>0</v>
      </c>
      <c r="E171" s="51">
        <v>0</v>
      </c>
      <c r="F171" s="47"/>
      <c r="G171" s="47">
        <v>10</v>
      </c>
      <c r="H171" s="51"/>
      <c r="I171" s="51">
        <v>0</v>
      </c>
      <c r="J171" s="51">
        <v>0</v>
      </c>
      <c r="K171" s="51">
        <v>0</v>
      </c>
      <c r="L171" s="47"/>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C46E275A-ABFB-4B90-B332-CF0A549A8683}">
      <formula1>$C$112:$C$113</formula1>
    </dataValidation>
  </dataValidations>
  <hyperlinks>
    <hyperlink ref="O1:P1" location="Home_page" display="Back to home page" xr:uid="{51C0528D-5ECB-4F93-966C-BED3235A192C}"/>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322B7C79-8F72-403A-A94D-49D025822A21}">
          <x14:colorSeries rgb="FF323232"/>
          <x14:colorNegative rgb="FFD00000"/>
          <x14:colorAxis rgb="FF000000"/>
          <x14:colorMarkers rgb="FFD00000"/>
          <x14:colorFirst rgb="FFD00000"/>
          <x14:colorLast rgb="FFD00000"/>
          <x14:colorHigh rgb="FFD00000"/>
          <x14:colorLow rgb="FFD00000"/>
          <x14:sparklines>
            <x14:sparkline>
              <xm:f>'NSWOS demersal over 24m'!D3:N3</xm:f>
              <xm:sqref>C3</xm:sqref>
            </x14:sparkline>
            <x14:sparkline>
              <xm:f>'NSWOS demersal over 24m'!D4:N4</xm:f>
              <xm:sqref>C4</xm:sqref>
            </x14:sparkline>
            <x14:sparkline>
              <xm:f>'NSWOS demersal over 24m'!D5:N5</xm:f>
              <xm:sqref>C5</xm:sqref>
            </x14:sparkline>
            <x14:sparkline>
              <xm:f>'NSWOS demersal over 24m'!D6:N6</xm:f>
              <xm:sqref>C6</xm:sqref>
            </x14:sparkline>
            <x14:sparkline>
              <xm:f>'NSWOS demersal over 24m'!D7:N7</xm:f>
              <xm:sqref>C7</xm:sqref>
            </x14:sparkline>
            <x14:sparkline>
              <xm:f>'NSWOS demersal over 24m'!D8:N8</xm:f>
              <xm:sqref>C8</xm:sqref>
            </x14:sparkline>
            <x14:sparkline>
              <xm:f>'NSWOS demersal over 24m'!D9:N9</xm:f>
              <xm:sqref>C9</xm:sqref>
            </x14:sparkline>
            <x14:sparkline>
              <xm:f>'NSWOS demersal over 24m'!D10:N10</xm:f>
              <xm:sqref>C10</xm:sqref>
            </x14:sparkline>
            <x14:sparkline>
              <xm:f>'NSWOS demersal over 24m'!D11:N11</xm:f>
              <xm:sqref>C11</xm:sqref>
            </x14:sparkline>
            <x14:sparkline>
              <xm:f>'NSWOS demersal over 24m'!D12:N12</xm:f>
              <xm:sqref>C12</xm:sqref>
            </x14:sparkline>
            <x14:sparkline>
              <xm:f>'NSWOS demersal over 24m'!D13:N13</xm:f>
              <xm:sqref>C13</xm:sqref>
            </x14:sparkline>
            <x14:sparkline>
              <xm:f>'NSWOS demersal over 24m'!D14:N14</xm:f>
              <xm:sqref>C14</xm:sqref>
            </x14:sparkline>
            <x14:sparkline>
              <xm:f>'NSWOS demersal over 24m'!D15:N15</xm:f>
              <xm:sqref>C15</xm:sqref>
            </x14:sparkline>
            <x14:sparkline>
              <xm:f>'NSWOS demersal over 24m'!D16:N16</xm:f>
              <xm:sqref>C16</xm:sqref>
            </x14:sparkline>
            <x14:sparkline>
              <xm:f>'NSWOS demersal over 24m'!D17:N17</xm:f>
              <xm:sqref>C17</xm:sqref>
            </x14:sparkline>
            <x14:sparkline>
              <xm:f>'NSWOS demersal over 24m'!D18:N18</xm:f>
              <xm:sqref>C18</xm:sqref>
            </x14:sparkline>
            <x14:sparkline>
              <xm:f>'NSWOS demersal over 24m'!D19:N19</xm:f>
              <xm:sqref>C19</xm:sqref>
            </x14:sparkline>
            <x14:sparkline>
              <xm:f>'NSWOS demersal over 24m'!D20:N20</xm:f>
              <xm:sqref>C20</xm:sqref>
            </x14:sparkline>
            <x14:sparkline>
              <xm:f>'NSWOS demersal over 24m'!D21:N21</xm:f>
              <xm:sqref>C21</xm:sqref>
            </x14:sparkline>
            <x14:sparkline>
              <xm:f>'NSWOS demersal over 24m'!D22:N22</xm:f>
              <xm:sqref>C22</xm:sqref>
            </x14:sparkline>
            <x14:sparkline>
              <xm:f>'NSWOS demersal over 24m'!D23:N23</xm:f>
              <xm:sqref>C23</xm:sqref>
            </x14:sparkline>
            <x14:sparkline>
              <xm:f>'NSWOS demersal over 24m'!D24:N24</xm:f>
              <xm:sqref>C24</xm:sqref>
            </x14:sparkline>
            <x14:sparkline>
              <xm:f>'NSWOS demersal over 24m'!D25:N25</xm:f>
              <xm:sqref>C25</xm:sqref>
            </x14:sparkline>
            <x14:sparkline>
              <xm:f>'NSWOS demersal over 24m'!D26:N26</xm:f>
              <xm:sqref>C26</xm:sqref>
            </x14:sparkline>
            <x14:sparkline>
              <xm:f>'NSWOS demersal over 24m'!D27:N27</xm:f>
              <xm:sqref>C27</xm:sqref>
            </x14:sparkline>
            <x14:sparkline>
              <xm:f>'NSWOS demersal over 24m'!D28:N28</xm:f>
              <xm:sqref>C28</xm:sqref>
            </x14:sparkline>
            <x14:sparkline>
              <xm:f>'NSWOS demersal over 24m'!D29:N29</xm:f>
              <xm:sqref>C29</xm:sqref>
            </x14:sparkline>
            <x14:sparkline>
              <xm:f>'NSWOS demersal over 24m'!D30:N30</xm:f>
              <xm:sqref>C30</xm:sqref>
            </x14:sparkline>
            <x14:sparkline>
              <xm:f>'NSWOS demersal over 24m'!D31:N31</xm:f>
              <xm:sqref>C31</xm:sqref>
            </x14:sparkline>
            <x14:sparkline>
              <xm:f>'NSWOS demersal over 24m'!D32:N32</xm:f>
              <xm:sqref>C32</xm:sqref>
            </x14:sparkline>
            <x14:sparkline>
              <xm:f>'NSWOS demersal over 24m'!D33:N33</xm:f>
              <xm:sqref>C33</xm:sqref>
            </x14:sparkline>
            <x14:sparkline>
              <xm:f>'NSWOS demersal over 24m'!D34:N34</xm:f>
              <xm:sqref>C34</xm:sqref>
            </x14:sparkline>
            <x14:sparkline>
              <xm:f>'NSWOS demersal over 24m'!D35:N35</xm:f>
              <xm:sqref>C35</xm:sqref>
            </x14:sparkline>
            <x14:sparkline>
              <xm:f>'NSWOS demersal over 24m'!D36:N36</xm:f>
              <xm:sqref>C36</xm:sqref>
            </x14:sparkline>
            <x14:sparkline>
              <xm:f>'NSWOS demersal over 24m'!D37:N37</xm:f>
              <xm:sqref>C37</xm:sqref>
            </x14:sparkline>
            <x14:sparkline>
              <xm:f>'NSWOS demersal over 24m'!D38:N38</xm:f>
              <xm:sqref>C38</xm:sqref>
            </x14:sparkline>
            <x14:sparkline>
              <xm:f>'NSWOS demersal over 24m'!D39:N39</xm:f>
              <xm:sqref>C39</xm:sqref>
            </x14:sparkline>
            <x14:sparkline>
              <xm:f>'NSWOS demersal over 24m'!D40:N40</xm:f>
              <xm:sqref>C40</xm:sqref>
            </x14:sparkline>
            <x14:sparkline>
              <xm:f>'NSWOS demersal over 24m'!D41:N41</xm:f>
              <xm:sqref>C41</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A5C4B-2AE1-484C-909D-E13938D60A4C}">
  <sheetPr codeName="Feuil22">
    <pageSetUpPr fitToPage="1"/>
  </sheetPr>
  <dimension ref="A1:S192"/>
  <sheetViews>
    <sheetView topLeftCell="A43"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25</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38</v>
      </c>
      <c r="E3" s="27">
        <v>32</v>
      </c>
      <c r="F3" s="27">
        <v>30</v>
      </c>
      <c r="G3" s="27">
        <v>20</v>
      </c>
      <c r="H3" s="27">
        <v>30</v>
      </c>
      <c r="I3" s="27">
        <v>28</v>
      </c>
      <c r="J3" s="27">
        <v>25</v>
      </c>
      <c r="K3" s="27">
        <v>25</v>
      </c>
      <c r="L3" s="27">
        <v>25</v>
      </c>
      <c r="M3" s="27">
        <v>23</v>
      </c>
      <c r="N3" s="27">
        <v>27</v>
      </c>
      <c r="O3" s="28">
        <f t="shared" ref="O3:O41" si="0">IF(N3=0,"",IFERROR(IF(AND(N3&gt;0,D3&lt;0),"na",IF(AND(N3&lt;0,D3&lt;0),-1,1)*(N3-D3)/D3),""))</f>
        <v>-0.28947368421052633</v>
      </c>
      <c r="P3" s="28">
        <f t="shared" ref="P3:P41" si="1">IF(N3=0,"",IFERROR(IF(AND(N3&gt;0,J3&lt;0),"na",IF(AND(N3&lt;0,J3&lt;0),-1,1)*(N3-J3)/J3),""))</f>
        <v>0.08</v>
      </c>
      <c r="Q3" s="206"/>
    </row>
    <row r="4" spans="1:17" ht="18" customHeight="1">
      <c r="A4" s="172"/>
      <c r="B4" s="29" t="s">
        <v>184</v>
      </c>
      <c r="C4" s="30"/>
      <c r="D4" s="30">
        <v>19030</v>
      </c>
      <c r="E4" s="30">
        <v>16549</v>
      </c>
      <c r="F4" s="30">
        <v>15632</v>
      </c>
      <c r="G4" s="30">
        <v>10872</v>
      </c>
      <c r="H4" s="30">
        <v>15932</v>
      </c>
      <c r="I4" s="30">
        <v>15072</v>
      </c>
      <c r="J4" s="30">
        <v>13569</v>
      </c>
      <c r="K4" s="30">
        <v>13473</v>
      </c>
      <c r="L4" s="30">
        <v>13197</v>
      </c>
      <c r="M4" s="30">
        <v>12126</v>
      </c>
      <c r="N4" s="30">
        <v>14229</v>
      </c>
      <c r="O4" s="28">
        <f t="shared" si="0"/>
        <v>-0.25228586442459272</v>
      </c>
      <c r="P4" s="28">
        <f t="shared" si="1"/>
        <v>4.8640282998010168E-2</v>
      </c>
      <c r="Q4" s="206"/>
    </row>
    <row r="5" spans="1:17" ht="18" customHeight="1">
      <c r="A5" s="172"/>
      <c r="B5" s="29" t="s">
        <v>185</v>
      </c>
      <c r="C5" s="30"/>
      <c r="D5" s="30">
        <v>7944</v>
      </c>
      <c r="E5" s="30">
        <v>6872</v>
      </c>
      <c r="F5" s="30">
        <v>6504</v>
      </c>
      <c r="G5" s="30">
        <v>4706</v>
      </c>
      <c r="H5" s="30">
        <v>7057</v>
      </c>
      <c r="I5" s="30">
        <v>6617</v>
      </c>
      <c r="J5" s="30">
        <v>6108</v>
      </c>
      <c r="K5" s="30">
        <v>6228</v>
      </c>
      <c r="L5" s="30">
        <v>6237</v>
      </c>
      <c r="M5" s="30">
        <v>5660</v>
      </c>
      <c r="N5" s="30">
        <v>6564</v>
      </c>
      <c r="O5" s="28">
        <f t="shared" si="0"/>
        <v>-0.17371601208459214</v>
      </c>
      <c r="P5" s="28">
        <f t="shared" si="1"/>
        <v>7.4656188605108059E-2</v>
      </c>
      <c r="Q5" s="207"/>
    </row>
    <row r="6" spans="1:17" ht="18" customHeight="1">
      <c r="A6" s="172"/>
      <c r="B6" s="29" t="s">
        <v>186</v>
      </c>
      <c r="C6" s="30"/>
      <c r="D6" s="30">
        <v>15388.7431640625</v>
      </c>
      <c r="E6" s="30">
        <v>13285.724609375</v>
      </c>
      <c r="F6" s="30">
        <v>12527.822265625</v>
      </c>
      <c r="G6" s="30">
        <v>8623.353515625</v>
      </c>
      <c r="H6" s="30">
        <v>12873.521484375</v>
      </c>
      <c r="I6" s="30">
        <v>12103.2060546875</v>
      </c>
      <c r="J6" s="30">
        <v>10986.9697265625</v>
      </c>
      <c r="K6" s="30">
        <v>11015.40625</v>
      </c>
      <c r="L6" s="30">
        <v>10890.71484375</v>
      </c>
      <c r="M6" s="30">
        <v>9994.849609375</v>
      </c>
      <c r="N6" s="30">
        <v>11710.287109375</v>
      </c>
      <c r="O6" s="28">
        <f t="shared" si="0"/>
        <v>-0.23903550897371778</v>
      </c>
      <c r="P6" s="28">
        <f t="shared" si="1"/>
        <v>6.5834110843482299E-2</v>
      </c>
      <c r="Q6" s="206"/>
    </row>
    <row r="7" spans="1:17" ht="18" customHeight="1">
      <c r="A7" s="172"/>
      <c r="B7" s="29" t="s">
        <v>187</v>
      </c>
      <c r="C7" s="30"/>
      <c r="D7" s="30">
        <v>23650.265625</v>
      </c>
      <c r="E7" s="30">
        <v>20634.23828125</v>
      </c>
      <c r="F7" s="30">
        <v>20605.134765625</v>
      </c>
      <c r="G7" s="30">
        <v>17023.658203125</v>
      </c>
      <c r="H7" s="30">
        <v>24155.08203125</v>
      </c>
      <c r="I7" s="30">
        <v>26031.48046875</v>
      </c>
      <c r="J7" s="30">
        <v>27196.4609375</v>
      </c>
      <c r="K7" s="30">
        <v>27774.46484375</v>
      </c>
      <c r="L7" s="30">
        <v>28375.8046875</v>
      </c>
      <c r="M7" s="30">
        <v>26012.4765625</v>
      </c>
      <c r="N7" s="30">
        <v>26615.669921875</v>
      </c>
      <c r="O7" s="28">
        <f t="shared" si="0"/>
        <v>0.1253856655944007</v>
      </c>
      <c r="P7" s="28">
        <f t="shared" si="1"/>
        <v>-2.1355389473641878E-2</v>
      </c>
      <c r="Q7" s="206"/>
    </row>
    <row r="8" spans="1:17" ht="18" customHeight="1">
      <c r="A8" s="172"/>
      <c r="B8" s="29" t="s">
        <v>188</v>
      </c>
      <c r="C8" s="31"/>
      <c r="D8" s="31">
        <f ca="1">40.727084*OFFSET(D$112,MATCH($N$1,$C$112:$C$113,0)-1,0)</f>
        <v>40.727083999999998</v>
      </c>
      <c r="E8" s="31">
        <f ca="1">38.095132*OFFSET(E$112,MATCH($N$1,$C$112:$C$113,0)-1,0)</f>
        <v>38.095132</v>
      </c>
      <c r="F8" s="31">
        <f ca="1">33.370056*OFFSET(F$112,MATCH($N$1,$C$112:$C$113,0)-1,0)</f>
        <v>33.370055999999998</v>
      </c>
      <c r="G8" s="31">
        <f ca="1">26.724876*OFFSET(G$112,MATCH($N$1,$C$112:$C$113,0)-1,0)</f>
        <v>26.724875999999998</v>
      </c>
      <c r="H8" s="31">
        <f ca="1">41.616468*OFFSET(H$112,MATCH($N$1,$C$112:$C$113,0)-1,0)</f>
        <v>41.616467999999998</v>
      </c>
      <c r="I8" s="31">
        <f ca="1">43.572596*OFFSET(I$112,MATCH($N$1,$C$112:$C$113,0)-1,0)</f>
        <v>43.572595999999997</v>
      </c>
      <c r="J8" s="31">
        <f ca="1">48.936636*OFFSET(J$112,MATCH($N$1,$C$112:$C$113,0)-1,0)</f>
        <v>48.936636</v>
      </c>
      <c r="K8" s="31">
        <f ca="1">55.159744*OFFSET(K$112,MATCH($N$1,$C$112:$C$113,0)-1,0)</f>
        <v>55.159744000000003</v>
      </c>
      <c r="L8" s="31">
        <f ca="1">52.668132*OFFSET(L$112,MATCH($N$1,$C$112:$C$113,0)-1,0)</f>
        <v>52.668132</v>
      </c>
      <c r="M8" s="31">
        <f ca="1">50.398532*OFFSET(M$112,MATCH($N$1,$C$112:$C$113,0)-1,0)</f>
        <v>50.398532000000003</v>
      </c>
      <c r="N8" s="31">
        <v>43.463187999999995</v>
      </c>
      <c r="O8" s="28">
        <f t="shared" ca="1" si="0"/>
        <v>6.7181436313977147E-2</v>
      </c>
      <c r="P8" s="28">
        <f t="shared" ca="1" si="1"/>
        <v>-0.11184765540483831</v>
      </c>
      <c r="Q8" s="206"/>
    </row>
    <row r="9" spans="1:17" ht="18" customHeight="1">
      <c r="A9" s="172"/>
      <c r="B9" s="29" t="s">
        <v>189</v>
      </c>
      <c r="C9" s="30"/>
      <c r="D9" s="30">
        <v>6728</v>
      </c>
      <c r="E9" s="30">
        <v>5472</v>
      </c>
      <c r="F9" s="30">
        <v>4525</v>
      </c>
      <c r="G9" s="30">
        <v>3233</v>
      </c>
      <c r="H9" s="30">
        <v>4515</v>
      </c>
      <c r="I9" s="30">
        <v>5346</v>
      </c>
      <c r="J9" s="30">
        <v>4995</v>
      </c>
      <c r="K9" s="30">
        <v>4823</v>
      </c>
      <c r="L9" s="30">
        <v>5527</v>
      </c>
      <c r="M9" s="30">
        <v>5280</v>
      </c>
      <c r="N9" s="30">
        <v>5412</v>
      </c>
      <c r="O9" s="28">
        <f t="shared" si="0"/>
        <v>-0.19560047562425684</v>
      </c>
      <c r="P9" s="28">
        <f t="shared" si="1"/>
        <v>8.3483483483483487E-2</v>
      </c>
      <c r="Q9" s="206"/>
    </row>
    <row r="10" spans="1:17" ht="18" customHeight="1">
      <c r="A10" s="172"/>
      <c r="B10" s="29" t="s">
        <v>190</v>
      </c>
      <c r="C10" s="30"/>
      <c r="D10" s="30">
        <v>280.6712646484375</v>
      </c>
      <c r="E10" s="30">
        <v>265.3052978515625</v>
      </c>
      <c r="F10" s="30">
        <v>218.46688842773438</v>
      </c>
      <c r="G10" s="30">
        <v>148.40156555175781</v>
      </c>
      <c r="H10" s="30">
        <v>238.40298461914063</v>
      </c>
      <c r="I10" s="30">
        <v>278.379638671875</v>
      </c>
      <c r="J10" s="30">
        <v>322.19265747070313</v>
      </c>
      <c r="K10" s="30">
        <v>209.99833679199219</v>
      </c>
      <c r="L10" s="30">
        <v>279.87945556640625</v>
      </c>
      <c r="M10" s="30">
        <v>235.46142578125</v>
      </c>
      <c r="N10" s="30">
        <v>233.17695617675781</v>
      </c>
      <c r="O10" s="32">
        <f t="shared" si="0"/>
        <v>-0.16921685421259633</v>
      </c>
      <c r="P10" s="32">
        <f t="shared" si="1"/>
        <v>-0.2762809742243722</v>
      </c>
      <c r="Q10" s="206"/>
    </row>
    <row r="11" spans="1:17" ht="18" customHeight="1">
      <c r="A11" s="173" t="s">
        <v>191</v>
      </c>
      <c r="B11" s="33" t="s">
        <v>192</v>
      </c>
      <c r="C11" s="34"/>
      <c r="D11" s="34">
        <v>24.556316375732422</v>
      </c>
      <c r="E11" s="34">
        <v>24.929374694824219</v>
      </c>
      <c r="F11" s="34">
        <v>24.821332931518555</v>
      </c>
      <c r="G11" s="34">
        <v>24.888999938964844</v>
      </c>
      <c r="H11" s="34">
        <v>25.580333709716797</v>
      </c>
      <c r="I11" s="34">
        <v>25.558929443359375</v>
      </c>
      <c r="J11" s="34">
        <v>25.900400161743164</v>
      </c>
      <c r="K11" s="34">
        <v>26.18120002746582</v>
      </c>
      <c r="L11" s="34">
        <v>26.014400482177734</v>
      </c>
      <c r="M11" s="34">
        <v>26.026521682739258</v>
      </c>
      <c r="N11" s="34">
        <v>26.001482009887695</v>
      </c>
      <c r="O11" s="28">
        <f t="shared" si="0"/>
        <v>5.8851075708710385E-2</v>
      </c>
      <c r="P11" s="28">
        <f t="shared" si="1"/>
        <v>3.9027137616907065E-3</v>
      </c>
      <c r="Q11" s="206"/>
    </row>
    <row r="12" spans="1:17" ht="18" customHeight="1">
      <c r="A12" s="174"/>
      <c r="B12" s="35" t="s">
        <v>184</v>
      </c>
      <c r="C12" s="30"/>
      <c r="D12" s="30">
        <v>500.78945922851563</v>
      </c>
      <c r="E12" s="30">
        <v>517.15625</v>
      </c>
      <c r="F12" s="30">
        <v>521.066650390625</v>
      </c>
      <c r="G12" s="30">
        <v>543.5999755859375</v>
      </c>
      <c r="H12" s="30">
        <v>531.066650390625</v>
      </c>
      <c r="I12" s="30">
        <v>538.28570556640625</v>
      </c>
      <c r="J12" s="30">
        <v>542.760009765625</v>
      </c>
      <c r="K12" s="30">
        <v>538.91998291015625</v>
      </c>
      <c r="L12" s="30">
        <v>527.8800048828125</v>
      </c>
      <c r="M12" s="30">
        <v>527.2174072265625</v>
      </c>
      <c r="N12" s="30">
        <v>527</v>
      </c>
      <c r="O12" s="28">
        <f t="shared" si="0"/>
        <v>5.2338443408658536E-2</v>
      </c>
      <c r="P12" s="28">
        <f t="shared" si="1"/>
        <v>-2.9036792471926032E-2</v>
      </c>
      <c r="Q12" s="206"/>
    </row>
    <row r="13" spans="1:17" ht="18" customHeight="1">
      <c r="A13" s="174"/>
      <c r="B13" s="35" t="s">
        <v>185</v>
      </c>
      <c r="C13" s="30"/>
      <c r="D13" s="30">
        <v>209.05262756347656</v>
      </c>
      <c r="E13" s="30">
        <v>214.75</v>
      </c>
      <c r="F13" s="30">
        <v>216.80000305175781</v>
      </c>
      <c r="G13" s="30">
        <v>235.30000305175781</v>
      </c>
      <c r="H13" s="30">
        <v>235.23333740234375</v>
      </c>
      <c r="I13" s="30">
        <v>236.32142639160156</v>
      </c>
      <c r="J13" s="30">
        <v>244.32000732421875</v>
      </c>
      <c r="K13" s="30">
        <v>249.1199951171875</v>
      </c>
      <c r="L13" s="30">
        <v>249.47999572753906</v>
      </c>
      <c r="M13" s="30">
        <v>246.08695983886719</v>
      </c>
      <c r="N13" s="30">
        <v>243.11111450195313</v>
      </c>
      <c r="O13" s="28">
        <f t="shared" si="0"/>
        <v>0.16291824377158365</v>
      </c>
      <c r="P13" s="28">
        <f t="shared" si="1"/>
        <v>-4.9479894647407813E-3</v>
      </c>
      <c r="Q13" s="206"/>
    </row>
    <row r="14" spans="1:17" ht="18" customHeight="1">
      <c r="A14" s="174"/>
      <c r="B14" s="35" t="s">
        <v>186</v>
      </c>
      <c r="C14" s="30"/>
      <c r="D14" s="30">
        <v>404.9669189453125</v>
      </c>
      <c r="E14" s="30">
        <v>415.17889404296875</v>
      </c>
      <c r="F14" s="30">
        <v>417.59408569335938</v>
      </c>
      <c r="G14" s="30">
        <v>431.16766357421875</v>
      </c>
      <c r="H14" s="30">
        <v>429.11737060546875</v>
      </c>
      <c r="I14" s="30">
        <v>432.25735473632813</v>
      </c>
      <c r="J14" s="30">
        <v>439.47879028320313</v>
      </c>
      <c r="K14" s="30">
        <v>440.61624145507813</v>
      </c>
      <c r="L14" s="30">
        <v>435.62860107421875</v>
      </c>
      <c r="M14" s="30">
        <v>434.55868530273438</v>
      </c>
      <c r="N14" s="30">
        <v>433.71432495117188</v>
      </c>
      <c r="O14" s="28">
        <f t="shared" si="0"/>
        <v>7.0987047733993988E-2</v>
      </c>
      <c r="P14" s="28">
        <f t="shared" si="1"/>
        <v>-1.3116595065524298E-2</v>
      </c>
      <c r="Q14" s="206"/>
    </row>
    <row r="15" spans="1:17" ht="18" customHeight="1">
      <c r="A15" s="174"/>
      <c r="B15" s="35" t="s">
        <v>187</v>
      </c>
      <c r="C15" s="31"/>
      <c r="D15" s="31">
        <v>622.37542724609375</v>
      </c>
      <c r="E15" s="31">
        <v>644.8199462890625</v>
      </c>
      <c r="F15" s="31">
        <v>686.83782958984375</v>
      </c>
      <c r="G15" s="31">
        <v>851.18292236328125</v>
      </c>
      <c r="H15" s="31">
        <v>805.16943359375</v>
      </c>
      <c r="I15" s="31">
        <v>929.69573974609375</v>
      </c>
      <c r="J15" s="31">
        <v>1087.8585205078125</v>
      </c>
      <c r="K15" s="31">
        <v>1110.9786376953125</v>
      </c>
      <c r="L15" s="31">
        <v>1135.0322265625</v>
      </c>
      <c r="M15" s="31">
        <v>1130.9771728515625</v>
      </c>
      <c r="N15" s="31">
        <v>985.7655029296875</v>
      </c>
      <c r="O15" s="28">
        <f t="shared" si="0"/>
        <v>0.58387600116465643</v>
      </c>
      <c r="P15" s="28">
        <f t="shared" si="1"/>
        <v>-9.3847697704723551E-2</v>
      </c>
      <c r="Q15" s="206"/>
    </row>
    <row r="16" spans="1:17" ht="18" customHeight="1">
      <c r="A16" s="174"/>
      <c r="B16" s="35" t="s">
        <v>193</v>
      </c>
      <c r="C16" s="31"/>
      <c r="D16" s="31">
        <f ca="1">1071.765375*OFFSET(D$112,MATCH($N$1,$C$112:$C$113,0)-1,0)</f>
        <v>1071.7653749999999</v>
      </c>
      <c r="E16" s="31">
        <f ca="1">1190.472875*OFFSET(E$112,MATCH($N$1,$C$112:$C$113,0)-1,0)</f>
        <v>1190.4728749999999</v>
      </c>
      <c r="F16" s="31">
        <f ca="1">1112.33525*OFFSET(F$112,MATCH($N$1,$C$112:$C$113,0)-1,0)</f>
        <v>1112.3352500000001</v>
      </c>
      <c r="G16" s="31">
        <f ca="1">1336.24375*OFFSET(G$112,MATCH($N$1,$C$112:$C$113,0)-1,0)</f>
        <v>1336.2437500000001</v>
      </c>
      <c r="H16" s="31">
        <f ca="1">1387.2155*OFFSET(H$112,MATCH($N$1,$C$112:$C$113,0)-1,0)</f>
        <v>1387.2155</v>
      </c>
      <c r="I16" s="31">
        <f ca="1">1556.164125*OFFSET(I$112,MATCH($N$1,$C$112:$C$113,0)-1,0)</f>
        <v>1556.164125</v>
      </c>
      <c r="J16" s="31">
        <f ca="1">1957.4655*OFFSET(J$112,MATCH($N$1,$C$112:$C$113,0)-1,0)</f>
        <v>1957.4655</v>
      </c>
      <c r="K16" s="31">
        <f ca="1">2206.38975*OFFSET(K$112,MATCH($N$1,$C$112:$C$113,0)-1,0)</f>
        <v>2206.3897499999998</v>
      </c>
      <c r="L16" s="31">
        <f ca="1">2106.72525*OFFSET(L$112,MATCH($N$1,$C$112:$C$113,0)-1,0)</f>
        <v>2106.72525</v>
      </c>
      <c r="M16" s="31">
        <f ca="1">2191.2405*OFFSET(M$112,MATCH($N$1,$C$112:$C$113,0)-1,0)</f>
        <v>2191.2404999999999</v>
      </c>
      <c r="N16" s="31">
        <v>1609.74775</v>
      </c>
      <c r="O16" s="28">
        <f t="shared" ca="1" si="0"/>
        <v>0.50195909249260839</v>
      </c>
      <c r="P16" s="28">
        <f t="shared" ca="1" si="1"/>
        <v>-0.17763671952328153</v>
      </c>
      <c r="Q16" s="206"/>
    </row>
    <row r="17" spans="1:16" ht="18" customHeight="1">
      <c r="A17" s="174"/>
      <c r="B17" s="35" t="s">
        <v>189</v>
      </c>
      <c r="C17" s="30"/>
      <c r="D17" s="30">
        <v>177.05262756347656</v>
      </c>
      <c r="E17" s="30">
        <v>171</v>
      </c>
      <c r="F17" s="30">
        <v>150.83332824707031</v>
      </c>
      <c r="G17" s="30">
        <v>161.64999389648438</v>
      </c>
      <c r="H17" s="30">
        <v>150.5</v>
      </c>
      <c r="I17" s="30">
        <v>190.92857360839844</v>
      </c>
      <c r="J17" s="30">
        <v>199.80000305175781</v>
      </c>
      <c r="K17" s="30">
        <v>192.91999816894531</v>
      </c>
      <c r="L17" s="30">
        <v>221.08000183105469</v>
      </c>
      <c r="M17" s="30">
        <v>229.56521606445313</v>
      </c>
      <c r="N17" s="30">
        <v>200.44444274902344</v>
      </c>
      <c r="O17" s="28">
        <f t="shared" si="0"/>
        <v>0.13211786522151719</v>
      </c>
      <c r="P17" s="28">
        <f t="shared" si="1"/>
        <v>3.2254238609730358E-3</v>
      </c>
    </row>
    <row r="18" spans="1:16" ht="18" customHeight="1">
      <c r="A18" s="174"/>
      <c r="B18" s="35" t="s">
        <v>194</v>
      </c>
      <c r="C18" s="30"/>
      <c r="D18" s="30">
        <v>20.605262756347656</v>
      </c>
      <c r="E18" s="30">
        <v>22.4375</v>
      </c>
      <c r="F18" s="30">
        <v>23.066667556762695</v>
      </c>
      <c r="G18" s="30">
        <v>20.649999618530273</v>
      </c>
      <c r="H18" s="30">
        <v>23.566667556762695</v>
      </c>
      <c r="I18" s="30">
        <v>23.928571701049805</v>
      </c>
      <c r="J18" s="30">
        <v>23.920000076293945</v>
      </c>
      <c r="K18" s="30">
        <v>23.239999771118164</v>
      </c>
      <c r="L18" s="30">
        <v>21.959999084472656</v>
      </c>
      <c r="M18" s="30">
        <v>24.695652008056641</v>
      </c>
      <c r="N18" s="30">
        <v>26.074073791503906</v>
      </c>
      <c r="O18" s="28">
        <f t="shared" si="0"/>
        <v>0.26540845898563115</v>
      </c>
      <c r="P18" s="28">
        <f t="shared" si="1"/>
        <v>9.0053248676398134E-2</v>
      </c>
    </row>
    <row r="19" spans="1:16" ht="18" customHeight="1">
      <c r="A19" s="174"/>
      <c r="B19" s="35" t="s">
        <v>195</v>
      </c>
      <c r="C19" s="36"/>
      <c r="D19" s="36">
        <v>3.515200138092041</v>
      </c>
      <c r="E19" s="36">
        <v>3.7708768844604492</v>
      </c>
      <c r="F19" s="36">
        <v>4.5536212921142578</v>
      </c>
      <c r="G19" s="36">
        <v>5.265592098236084</v>
      </c>
      <c r="H19" s="36">
        <v>5.3499631881713867</v>
      </c>
      <c r="I19" s="36">
        <v>4.8693380355834961</v>
      </c>
      <c r="J19" s="36">
        <v>5.444737434387207</v>
      </c>
      <c r="K19" s="36">
        <v>5.7587532997131348</v>
      </c>
      <c r="L19" s="36">
        <v>5.1340336799621582</v>
      </c>
      <c r="M19" s="36">
        <v>4.926605224609375</v>
      </c>
      <c r="N19" s="36">
        <v>4.9178986549377441</v>
      </c>
      <c r="O19" s="28">
        <f t="shared" si="0"/>
        <v>0.3990380239365407</v>
      </c>
      <c r="P19" s="28">
        <f t="shared" si="1"/>
        <v>-9.6761099281320512E-2</v>
      </c>
    </row>
    <row r="20" spans="1:16" ht="18" customHeight="1">
      <c r="A20" s="175"/>
      <c r="B20" s="37" t="s">
        <v>196</v>
      </c>
      <c r="C20" s="38"/>
      <c r="D20" s="38">
        <f ca="1">1722*OFFSET(D$112,MATCH($N$1,$C$112:$C$113,0)-1,0)</f>
        <v>1722</v>
      </c>
      <c r="E20" s="38">
        <f ca="1">1846*OFFSET(E$112,MATCH($N$1,$C$112:$C$113,0)-1,0)</f>
        <v>1846</v>
      </c>
      <c r="F20" s="38">
        <f ca="1">1620*OFFSET(F$112,MATCH($N$1,$C$112:$C$113,0)-1,0)</f>
        <v>1620</v>
      </c>
      <c r="G20" s="38">
        <f ca="1">1570*OFFSET(G$112,MATCH($N$1,$C$112:$C$113,0)-1,0)</f>
        <v>1570</v>
      </c>
      <c r="H20" s="38">
        <f ca="1">1723*OFFSET(H$112,MATCH($N$1,$C$112:$C$113,0)-1,0)</f>
        <v>1723</v>
      </c>
      <c r="I20" s="38">
        <f ca="1">1674*OFFSET(I$112,MATCH($N$1,$C$112:$C$113,0)-1,0)</f>
        <v>1674</v>
      </c>
      <c r="J20" s="38">
        <f ca="1">1799*OFFSET(J$112,MATCH($N$1,$C$112:$C$113,0)-1,0)</f>
        <v>1799</v>
      </c>
      <c r="K20" s="38">
        <f ca="1">1986*OFFSET(K$112,MATCH($N$1,$C$112:$C$113,0)-1,0)</f>
        <v>1986</v>
      </c>
      <c r="L20" s="38">
        <f ca="1">1856*OFFSET(L$112,MATCH($N$1,$C$112:$C$113,0)-1,0)</f>
        <v>1856</v>
      </c>
      <c r="M20" s="38">
        <f ca="1">1937*OFFSET(M$112,MATCH($N$1,$C$112:$C$113,0)-1,0)</f>
        <v>1937</v>
      </c>
      <c r="N20" s="38">
        <v>1633</v>
      </c>
      <c r="O20" s="32">
        <f t="shared" ca="1" si="0"/>
        <v>-5.1684088269454122E-2</v>
      </c>
      <c r="P20" s="32">
        <f t="shared" ca="1" si="1"/>
        <v>-9.2273485269594224E-2</v>
      </c>
    </row>
    <row r="21" spans="1:16" ht="18" customHeight="1">
      <c r="A21" s="176" t="s">
        <v>197</v>
      </c>
      <c r="B21" s="33" t="s">
        <v>198</v>
      </c>
      <c r="C21" s="39"/>
      <c r="D21" s="39">
        <v>6.9334901590095797</v>
      </c>
      <c r="E21" s="39">
        <v>7.1804181121119175</v>
      </c>
      <c r="F21" s="39">
        <v>8.4675204750370394</v>
      </c>
      <c r="G21" s="39">
        <v>9.6634899870868356</v>
      </c>
      <c r="H21" s="39">
        <v>9.9904098579477321</v>
      </c>
      <c r="I21" s="39">
        <v>8.924383222780703</v>
      </c>
      <c r="J21" s="39">
        <v>9.9660243818735381</v>
      </c>
      <c r="K21" s="39">
        <v>10.633405650152223</v>
      </c>
      <c r="L21" s="39">
        <v>9.7251156431219528</v>
      </c>
      <c r="M21" s="39">
        <v>9.3298584197246246</v>
      </c>
      <c r="N21" s="39">
        <v>9.2658679329830136</v>
      </c>
      <c r="O21" s="28">
        <f t="shared" si="0"/>
        <v>0.33639303157338069</v>
      </c>
      <c r="P21" s="28">
        <f t="shared" si="1"/>
        <v>-7.0254338346190187E-2</v>
      </c>
    </row>
    <row r="22" spans="1:16" ht="18" customHeight="1">
      <c r="A22" s="176"/>
      <c r="B22" s="35" t="s">
        <v>199</v>
      </c>
      <c r="C22" s="36"/>
      <c r="D22" s="36">
        <f ca="1">11.9398587331941*OFFSET(D$112,MATCH($N$1,$C$112:$C$113,0)-1,0)</f>
        <v>11.9398587331941</v>
      </c>
      <c r="E22" s="36">
        <f ca="1">13.25655796292*OFFSET(E$112,MATCH($N$1,$C$112:$C$113,0)-1,0)</f>
        <v>13.256557962920001</v>
      </c>
      <c r="F22" s="36">
        <f ca="1">13.7131664837171*OFFSET(F$112,MATCH($N$1,$C$112:$C$113,0)-1,0)</f>
        <v>13.713166483717099</v>
      </c>
      <c r="G22" s="36">
        <f ca="1">15.1703914154909*OFFSET(G$112,MATCH($N$1,$C$112:$C$113,0)-1,0)</f>
        <v>15.170391415490901</v>
      </c>
      <c r="H22" s="36">
        <f ca="1">17.2123416861977*OFFSET(H$112,MATCH($N$1,$C$112:$C$113,0)-1,0)</f>
        <v>17.2123416861977</v>
      </c>
      <c r="I22" s="36">
        <f ca="1">14.9380108086072*OFFSET(I$112,MATCH($N$1,$C$112:$C$113,0)-1,0)</f>
        <v>14.938010808607199</v>
      </c>
      <c r="J22" s="36">
        <f ca="1">17.9326158061159*OFFSET(J$112,MATCH($N$1,$C$112:$C$113,0)-1,0)</f>
        <v>17.932615806115901</v>
      </c>
      <c r="K22" s="36">
        <f ca="1">21.1178113044171*OFFSET(K$112,MATCH($N$1,$C$112:$C$113,0)-1,0)</f>
        <v>21.117811304417099</v>
      </c>
      <c r="L22" s="36">
        <f ca="1">18.0507180369533*OFFSET(L$112,MATCH($N$1,$C$112:$C$113,0)-1,0)</f>
        <v>18.050718036953299</v>
      </c>
      <c r="M22" s="36">
        <f ca="1">18.0763715831865*OFFSET(M$112,MATCH($N$1,$C$112:$C$113,0)-1,0)</f>
        <v>18.0763715831865</v>
      </c>
      <c r="N22" s="36">
        <v>15.131093563922843</v>
      </c>
      <c r="O22" s="28">
        <f t="shared" ca="1" si="0"/>
        <v>0.26727576113248008</v>
      </c>
      <c r="P22" s="28">
        <f t="shared" ca="1" si="1"/>
        <v>-0.15622496307747821</v>
      </c>
    </row>
    <row r="23" spans="1:16" ht="18" customHeight="1">
      <c r="A23" s="176"/>
      <c r="B23" s="35" t="s">
        <v>154</v>
      </c>
      <c r="C23" s="36"/>
      <c r="D23" s="36">
        <f ca="1">10.7635777999657*OFFSET(D$112,MATCH($N$1,$C$112:$C$113,0)-1,0)</f>
        <v>10.763577799965701</v>
      </c>
      <c r="E23" s="36">
        <f ca="1">12.2566218182805*OFFSET(E$112,MATCH($N$1,$C$112:$C$113,0)-1,0)</f>
        <v>12.2566218182805</v>
      </c>
      <c r="F23" s="36">
        <f ca="1">12.9553273188725*OFFSET(F$112,MATCH($N$1,$C$112:$C$113,0)-1,0)</f>
        <v>12.9553273188725</v>
      </c>
      <c r="G23" s="36">
        <f ca="1">14.6331172151487*OFFSET(G$112,MATCH($N$1,$C$112:$C$113,0)-1,0)</f>
        <v>14.633117215148699</v>
      </c>
      <c r="H23" s="36">
        <f ca="1">15.4173883406284*OFFSET(H$112,MATCH($N$1,$C$112:$C$113,0)-1,0)</f>
        <v>15.417388340628399</v>
      </c>
      <c r="I23" s="36">
        <f ca="1">14.0220010719664*OFFSET(I$112,MATCH($N$1,$C$112:$C$113,0)-1,0)</f>
        <v>14.0220010719664</v>
      </c>
      <c r="J23" s="36">
        <f ca="1">14.9164637140121*OFFSET(J$112,MATCH($N$1,$C$112:$C$113,0)-1,0)</f>
        <v>14.916463714012099</v>
      </c>
      <c r="K23" s="36">
        <f ca="1">18.2128297532909*OFFSET(K$112,MATCH($N$1,$C$112:$C$113,0)-1,0)</f>
        <v>18.212829753290901</v>
      </c>
      <c r="L23" s="36">
        <f ca="1">15.5766129700294*OFFSET(L$112,MATCH($N$1,$C$112:$C$113,0)-1,0)</f>
        <v>15.5766129700294</v>
      </c>
      <c r="M23" s="36">
        <f ca="1">15.8581226181129*OFFSET(M$112,MATCH($N$1,$C$112:$C$113,0)-1,0)</f>
        <v>15.858122618112899</v>
      </c>
      <c r="N23" s="36">
        <v>13.821352398453666</v>
      </c>
      <c r="O23" s="28">
        <f t="shared" ca="1" si="0"/>
        <v>0.28408533438553391</v>
      </c>
      <c r="P23" s="28">
        <f t="shared" ca="1" si="1"/>
        <v>-7.3416282609243197E-2</v>
      </c>
    </row>
    <row r="24" spans="1:16" ht="18" customHeight="1">
      <c r="A24" s="176"/>
      <c r="B24" s="35" t="s">
        <v>155</v>
      </c>
      <c r="C24" s="36"/>
      <c r="D24" s="36">
        <f ca="1">1.2921908295987*OFFSET(D$112,MATCH($N$1,$C$112:$C$113,0)-1,0)</f>
        <v>1.2921908295986999</v>
      </c>
      <c r="E24" s="36">
        <f ca="1">1.3897221404456*OFFSET(E$112,MATCH($N$1,$C$112:$C$113,0)-1,0)</f>
        <v>1.3897221404455999</v>
      </c>
      <c r="F24" s="36">
        <f ca="1">1.45994252137919*OFFSET(F$112,MATCH($N$1,$C$112:$C$113,0)-1,0)</f>
        <v>1.4599425213791899</v>
      </c>
      <c r="G24" s="36">
        <f ca="1">3.39344226962322*OFFSET(G$112,MATCH($N$1,$C$112:$C$113,0)-1,0)</f>
        <v>3.39344226962322</v>
      </c>
      <c r="H24" s="36">
        <f ca="1">4.09751899513593*OFFSET(H$112,MATCH($N$1,$C$112:$C$113,0)-1,0)</f>
        <v>4.0975189951359301</v>
      </c>
      <c r="I24" s="36">
        <f ca="1">1.36663733645369*OFFSET(I$112,MATCH($N$1,$C$112:$C$113,0)-1,0)</f>
        <v>1.3666373364536899</v>
      </c>
      <c r="J24" s="36">
        <f ca="1">4.20409388450951*OFFSET(J$112,MATCH($N$1,$C$112:$C$113,0)-1,0)</f>
        <v>4.2040938845095104</v>
      </c>
      <c r="K24" s="36">
        <f ca="1">3.74206376890921*OFFSET(K$112,MATCH($N$1,$C$112:$C$113,0)-1,0)</f>
        <v>3.74206376890921</v>
      </c>
      <c r="L24" s="36">
        <f ca="1">2.52399989718231*OFFSET(L$112,MATCH($N$1,$C$112:$C$113,0)-1,0)</f>
        <v>2.5239998971823101</v>
      </c>
      <c r="M24" s="36">
        <f ca="1">2.2732130896235*OFFSET(M$112,MATCH($N$1,$C$112:$C$113,0)-1,0)</f>
        <v>2.2732130896234999</v>
      </c>
      <c r="N24" s="36">
        <v>1.3627827363063552</v>
      </c>
      <c r="O24" s="28">
        <f t="shared" ca="1" si="0"/>
        <v>5.4629629843123188E-2</v>
      </c>
      <c r="P24" s="28">
        <f t="shared" ca="1" si="1"/>
        <v>-0.67584388604457857</v>
      </c>
    </row>
    <row r="25" spans="1:16" ht="18" customHeight="1">
      <c r="A25" s="176"/>
      <c r="B25" s="35" t="s">
        <v>200</v>
      </c>
      <c r="C25" s="31"/>
      <c r="D25" s="31">
        <f ca="1">145.11*OFFSET(D$112,MATCH($N$1,$C$112:$C$113,0)-1,0)</f>
        <v>145.11000000000001</v>
      </c>
      <c r="E25" s="31">
        <f ca="1">143.59*OFFSET(E$112,MATCH($N$1,$C$112:$C$113,0)-1,0)</f>
        <v>143.59</v>
      </c>
      <c r="F25" s="31">
        <f ca="1">152.74*OFFSET(F$112,MATCH($N$1,$C$112:$C$113,0)-1,0)</f>
        <v>152.74</v>
      </c>
      <c r="G25" s="31">
        <f ca="1">180.08*OFFSET(G$112,MATCH($N$1,$C$112:$C$113,0)-1,0)</f>
        <v>180.08</v>
      </c>
      <c r="H25" s="31">
        <f ca="1">174.56*OFFSET(H$112,MATCH($N$1,$C$112:$C$113,0)-1,0)</f>
        <v>174.56</v>
      </c>
      <c r="I25" s="31">
        <f ca="1">156.53*OFFSET(I$112,MATCH($N$1,$C$112:$C$113,0)-1,0)</f>
        <v>156.53</v>
      </c>
      <c r="J25" s="31">
        <f ca="1">151.89*OFFSET(J$112,MATCH($N$1,$C$112:$C$113,0)-1,0)</f>
        <v>151.88999999999999</v>
      </c>
      <c r="K25" s="31">
        <f ca="1">262.67*OFFSET(K$112,MATCH($N$1,$C$112:$C$113,0)-1,0)</f>
        <v>262.67</v>
      </c>
      <c r="L25" s="31">
        <f ca="1">188.18*OFFSET(L$112,MATCH($N$1,$C$112:$C$113,0)-1,0)</f>
        <v>188.18</v>
      </c>
      <c r="M25" s="31">
        <f ca="1">214.04*OFFSET(M$112,MATCH($N$1,$C$112:$C$113,0)-1,0)</f>
        <v>214.04</v>
      </c>
      <c r="N25" s="31">
        <v>186.39</v>
      </c>
      <c r="O25" s="28">
        <f t="shared" ca="1" si="0"/>
        <v>0.28447384742609033</v>
      </c>
      <c r="P25" s="28">
        <f t="shared" ca="1" si="1"/>
        <v>0.22713806043847523</v>
      </c>
    </row>
    <row r="26" spans="1:16" ht="18" customHeight="1">
      <c r="A26" s="177"/>
      <c r="B26" s="35" t="s">
        <v>201</v>
      </c>
      <c r="C26" s="31"/>
      <c r="D26" s="31">
        <f ca="1">15.71*OFFSET(D$112,MATCH($N$1,$C$112:$C$113,0)-1,0)</f>
        <v>15.71</v>
      </c>
      <c r="E26" s="31">
        <f ca="1">15.05*OFFSET(E$112,MATCH($N$1,$C$112:$C$113,0)-1,0)</f>
        <v>15.05</v>
      </c>
      <c r="F26" s="31">
        <f ca="1">16.26*OFFSET(F$112,MATCH($N$1,$C$112:$C$113,0)-1,0)</f>
        <v>16.260000000000002</v>
      </c>
      <c r="G26" s="31">
        <f ca="1">40.28*OFFSET(G$112,MATCH($N$1,$C$112:$C$113,0)-1,0)</f>
        <v>40.28</v>
      </c>
      <c r="H26" s="31">
        <f ca="1">41.55*OFFSET(H$112,MATCH($N$1,$C$112:$C$113,0)-1,0)</f>
        <v>41.55</v>
      </c>
      <c r="I26" s="31">
        <f ca="1">14.32*OFFSET(I$112,MATCH($N$1,$C$112:$C$113,0)-1,0)</f>
        <v>14.32</v>
      </c>
      <c r="J26" s="31">
        <f ca="1">35.61*OFFSET(J$112,MATCH($N$1,$C$112:$C$113,0)-1,0)</f>
        <v>35.61</v>
      </c>
      <c r="K26" s="31">
        <f ca="1">46.55*OFFSET(K$112,MATCH($N$1,$C$112:$C$113,0)-1,0)</f>
        <v>46.55</v>
      </c>
      <c r="L26" s="31">
        <f ca="1">26.31*OFFSET(L$112,MATCH($N$1,$C$112:$C$113,0)-1,0)</f>
        <v>26.31</v>
      </c>
      <c r="M26" s="31">
        <f ca="1">26.92*OFFSET(M$112,MATCH($N$1,$C$112:$C$113,0)-1,0)</f>
        <v>26.92</v>
      </c>
      <c r="N26" s="31">
        <v>16.79</v>
      </c>
      <c r="O26" s="32">
        <f t="shared" ca="1" si="0"/>
        <v>6.8746021642265967E-2</v>
      </c>
      <c r="P26" s="32">
        <f t="shared" ca="1" si="1"/>
        <v>-0.52850322942993544</v>
      </c>
    </row>
    <row r="27" spans="1:16" ht="18" customHeight="1">
      <c r="A27" s="166" t="s">
        <v>202</v>
      </c>
      <c r="B27" s="33" t="s">
        <v>193</v>
      </c>
      <c r="C27" s="34"/>
      <c r="D27" s="34">
        <f ca="1">1071.8*OFFSET(D$112,MATCH($N$1,$C$112:$C$113,0)-1,0)</f>
        <v>1071.8</v>
      </c>
      <c r="E27" s="34">
        <f ca="1">1190.5*OFFSET(E$112,MATCH($N$1,$C$112:$C$113,0)-1,0)</f>
        <v>1190.5</v>
      </c>
      <c r="F27" s="34">
        <f ca="1">1112.3*OFFSET(F$112,MATCH($N$1,$C$112:$C$113,0)-1,0)</f>
        <v>1112.3</v>
      </c>
      <c r="G27" s="34">
        <f ca="1">1336.2*OFFSET(G$112,MATCH($N$1,$C$112:$C$113,0)-1,0)</f>
        <v>1336.2</v>
      </c>
      <c r="H27" s="34">
        <f ca="1">1387.2*OFFSET(H$112,MATCH($N$1,$C$112:$C$113,0)-1,0)</f>
        <v>1387.2</v>
      </c>
      <c r="I27" s="34">
        <f ca="1">1556.2*OFFSET(I$112,MATCH($N$1,$C$112:$C$113,0)-1,0)</f>
        <v>1556.2</v>
      </c>
      <c r="J27" s="34">
        <f ca="1">1957.5*OFFSET(J$112,MATCH($N$1,$C$112:$C$113,0)-1,0)</f>
        <v>1957.5</v>
      </c>
      <c r="K27" s="34">
        <f ca="1">2206.4*OFFSET(K$112,MATCH($N$1,$C$112:$C$113,0)-1,0)</f>
        <v>2206.4</v>
      </c>
      <c r="L27" s="34">
        <f ca="1">2106.7*OFFSET(L$112,MATCH($N$1,$C$112:$C$113,0)-1,0)</f>
        <v>2106.6999999999998</v>
      </c>
      <c r="M27" s="34">
        <f ca="1">2191.2*OFFSET(M$112,MATCH($N$1,$C$112:$C$113,0)-1,0)</f>
        <v>2191.1999999999998</v>
      </c>
      <c r="N27" s="34">
        <v>1609.7</v>
      </c>
      <c r="O27" s="28">
        <f t="shared" ca="1" si="0"/>
        <v>0.50186601977980982</v>
      </c>
      <c r="P27" s="28">
        <f t="shared" ca="1" si="1"/>
        <v>-0.17767560664112386</v>
      </c>
    </row>
    <row r="28" spans="1:16" ht="18" customHeight="1">
      <c r="A28" s="178"/>
      <c r="B28" s="35" t="s">
        <v>203</v>
      </c>
      <c r="C28" s="31"/>
      <c r="D28" s="31">
        <f ca="1">10.4*OFFSET(D$112,MATCH($N$1,$C$112:$C$113,0)-1,0)</f>
        <v>10.4</v>
      </c>
      <c r="E28" s="31">
        <f ca="1">35*OFFSET(E$112,MATCH($N$1,$C$112:$C$113,0)-1,0)</f>
        <v>35</v>
      </c>
      <c r="F28" s="31">
        <f ca="1">57*OFFSET(F$112,MATCH($N$1,$C$112:$C$113,0)-1,0)</f>
        <v>57</v>
      </c>
      <c r="G28" s="31">
        <f ca="1">251.6*OFFSET(G$112,MATCH($N$1,$C$112:$C$113,0)-1,0)</f>
        <v>251.6</v>
      </c>
      <c r="H28" s="31">
        <f ca="1">185.6*OFFSET(H$112,MATCH($N$1,$C$112:$C$113,0)-1,0)</f>
        <v>185.6</v>
      </c>
      <c r="I28" s="31">
        <f ca="1">46.9*OFFSET(I$112,MATCH($N$1,$C$112:$C$113,0)-1,0)</f>
        <v>46.9</v>
      </c>
      <c r="J28" s="31">
        <f ca="1">129.7*OFFSET(J$112,MATCH($N$1,$C$112:$C$113,0)-1,0)</f>
        <v>129.69999999999999</v>
      </c>
      <c r="K28" s="31">
        <f ca="1">87.5*OFFSET(K$112,MATCH($N$1,$C$112:$C$113,0)-1,0)</f>
        <v>87.5</v>
      </c>
      <c r="L28" s="31">
        <f ca="1">5.8*OFFSET(L$112,MATCH($N$1,$C$112:$C$113,0)-1,0)</f>
        <v>5.8</v>
      </c>
      <c r="M28" s="31">
        <f ca="1">6.7*OFFSET(M$112,MATCH($N$1,$C$112:$C$113,0)-1,0)</f>
        <v>6.7</v>
      </c>
      <c r="N28" s="31">
        <v>5.6000000000000005</v>
      </c>
      <c r="O28" s="28">
        <f t="shared" ca="1" si="0"/>
        <v>-0.46153846153846151</v>
      </c>
      <c r="P28" s="28">
        <f t="shared" ca="1" si="1"/>
        <v>-0.95682343870470321</v>
      </c>
    </row>
    <row r="29" spans="1:16" ht="18" customHeight="1">
      <c r="A29" s="178"/>
      <c r="B29" s="40" t="s">
        <v>204</v>
      </c>
      <c r="C29" s="41"/>
      <c r="D29" s="41">
        <f ca="1">1082.2*OFFSET(D$112,MATCH($N$1,$C$112:$C$113,0)-1,0)</f>
        <v>1082.2</v>
      </c>
      <c r="E29" s="41">
        <f ca="1">1225.5*OFFSET(E$112,MATCH($N$1,$C$112:$C$113,0)-1,0)</f>
        <v>1225.5</v>
      </c>
      <c r="F29" s="41">
        <f ca="1">1169.3*OFFSET(F$112,MATCH($N$1,$C$112:$C$113,0)-1,0)</f>
        <v>1169.3</v>
      </c>
      <c r="G29" s="41">
        <f ca="1">1587.8*OFFSET(G$112,MATCH($N$1,$C$112:$C$113,0)-1,0)</f>
        <v>1587.8</v>
      </c>
      <c r="H29" s="41">
        <f ca="1">1572.8*OFFSET(H$112,MATCH($N$1,$C$112:$C$113,0)-1,0)</f>
        <v>1572.8</v>
      </c>
      <c r="I29" s="41">
        <f ca="1">1603.1*OFFSET(I$112,MATCH($N$1,$C$112:$C$113,0)-1,0)</f>
        <v>1603.1</v>
      </c>
      <c r="J29" s="41">
        <f ca="1">2087.1*OFFSET(J$112,MATCH($N$1,$C$112:$C$113,0)-1,0)</f>
        <v>2087.1</v>
      </c>
      <c r="K29" s="41">
        <f ca="1">2293.8*OFFSET(K$112,MATCH($N$1,$C$112:$C$113,0)-1,0)</f>
        <v>2293.8000000000002</v>
      </c>
      <c r="L29" s="41">
        <f ca="1">2112.5*OFFSET(L$112,MATCH($N$1,$C$112:$C$113,0)-1,0)</f>
        <v>2112.5</v>
      </c>
      <c r="M29" s="41">
        <f ca="1">2197.9*OFFSET(M$112,MATCH($N$1,$C$112:$C$113,0)-1,0)</f>
        <v>2197.9</v>
      </c>
      <c r="N29" s="41">
        <v>1615.4</v>
      </c>
      <c r="O29" s="28">
        <f t="shared" ca="1" si="0"/>
        <v>0.49270005544261691</v>
      </c>
      <c r="P29" s="28">
        <f t="shared" ca="1" si="1"/>
        <v>-0.22600737865938375</v>
      </c>
    </row>
    <row r="30" spans="1:16" ht="18" customHeight="1">
      <c r="A30" s="178"/>
      <c r="B30" s="35" t="s">
        <v>205</v>
      </c>
      <c r="C30" s="31"/>
      <c r="D30" s="31">
        <f ca="1">132.3*OFFSET(D$112,MATCH($N$1,$C$112:$C$113,0)-1,0)</f>
        <v>132.30000000000001</v>
      </c>
      <c r="E30" s="31">
        <f ca="1">171.8*OFFSET(E$112,MATCH($N$1,$C$112:$C$113,0)-1,0)</f>
        <v>171.8</v>
      </c>
      <c r="F30" s="31">
        <f ca="1">157.4*OFFSET(F$112,MATCH($N$1,$C$112:$C$113,0)-1,0)</f>
        <v>157.4</v>
      </c>
      <c r="G30" s="31">
        <f ca="1">156.7*OFFSET(G$112,MATCH($N$1,$C$112:$C$113,0)-1,0)</f>
        <v>156.69999999999999</v>
      </c>
      <c r="H30" s="31">
        <f ca="1">132.3*OFFSET(H$112,MATCH($N$1,$C$112:$C$113,0)-1,0)</f>
        <v>132.30000000000001</v>
      </c>
      <c r="I30" s="31">
        <f ca="1">118.1*OFFSET(I$112,MATCH($N$1,$C$112:$C$113,0)-1,0)</f>
        <v>118.1</v>
      </c>
      <c r="J30" s="31">
        <f ca="1">117.6*OFFSET(J$112,MATCH($N$1,$C$112:$C$113,0)-1,0)</f>
        <v>117.6</v>
      </c>
      <c r="K30" s="31">
        <f ca="1">138.1*OFFSET(K$112,MATCH($N$1,$C$112:$C$113,0)-1,0)</f>
        <v>138.1</v>
      </c>
      <c r="L30" s="31">
        <f ca="1">184.8*OFFSET(L$112,MATCH($N$1,$C$112:$C$113,0)-1,0)</f>
        <v>184.8</v>
      </c>
      <c r="M30" s="31">
        <f ca="1">184.8*OFFSET(M$112,MATCH($N$1,$C$112:$C$113,0)-1,0)</f>
        <v>184.8</v>
      </c>
      <c r="N30" s="31">
        <v>119.3</v>
      </c>
      <c r="O30" s="28">
        <f t="shared" ca="1" si="0"/>
        <v>-9.8261526832955498E-2</v>
      </c>
      <c r="P30" s="28">
        <f t="shared" ca="1" si="1"/>
        <v>1.4455782312925195E-2</v>
      </c>
    </row>
    <row r="31" spans="1:16" ht="18" customHeight="1">
      <c r="A31" s="178"/>
      <c r="B31" s="35" t="s">
        <v>206</v>
      </c>
      <c r="C31" s="31"/>
      <c r="D31" s="31">
        <f ca="1">267.1*OFFSET(D$112,MATCH($N$1,$C$112:$C$113,0)-1,0)</f>
        <v>267.10000000000002</v>
      </c>
      <c r="E31" s="31">
        <f ca="1">276.6*OFFSET(E$112,MATCH($N$1,$C$112:$C$113,0)-1,0)</f>
        <v>276.60000000000002</v>
      </c>
      <c r="F31" s="31">
        <f ca="1">280.7*OFFSET(F$112,MATCH($N$1,$C$112:$C$113,0)-1,0)</f>
        <v>280.7</v>
      </c>
      <c r="G31" s="31">
        <f ca="1">313.6*OFFSET(G$112,MATCH($N$1,$C$112:$C$113,0)-1,0)</f>
        <v>313.60000000000002</v>
      </c>
      <c r="H31" s="31">
        <f ca="1">306.8*OFFSET(H$112,MATCH($N$1,$C$112:$C$113,0)-1,0)</f>
        <v>306.8</v>
      </c>
      <c r="I31" s="31">
        <f ca="1">365.1*OFFSET(I$112,MATCH($N$1,$C$112:$C$113,0)-1,0)</f>
        <v>365.1</v>
      </c>
      <c r="J31" s="31">
        <f ca="1">524.2*OFFSET(J$112,MATCH($N$1,$C$112:$C$113,0)-1,0)</f>
        <v>524.20000000000005</v>
      </c>
      <c r="K31" s="31">
        <f ca="1">608.5*OFFSET(K$112,MATCH($N$1,$C$112:$C$113,0)-1,0)</f>
        <v>608.5</v>
      </c>
      <c r="L31" s="31">
        <f ca="1">595.8*OFFSET(L$112,MATCH($N$1,$C$112:$C$113,0)-1,0)</f>
        <v>595.79999999999995</v>
      </c>
      <c r="M31" s="31">
        <f ca="1">660.7*OFFSET(M$112,MATCH($N$1,$C$112:$C$113,0)-1,0)</f>
        <v>660.7</v>
      </c>
      <c r="N31" s="31">
        <v>493.7</v>
      </c>
      <c r="O31" s="28">
        <f t="shared" ca="1" si="0"/>
        <v>0.84837139648071869</v>
      </c>
      <c r="P31" s="28">
        <f t="shared" ca="1" si="1"/>
        <v>-5.8183899275085951E-2</v>
      </c>
    </row>
    <row r="32" spans="1:16" ht="18" customHeight="1">
      <c r="A32" s="178"/>
      <c r="B32" s="35" t="s">
        <v>207</v>
      </c>
      <c r="C32" s="31"/>
      <c r="D32" s="31">
        <f ca="1">341.2*OFFSET(D$112,MATCH($N$1,$C$112:$C$113,0)-1,0)</f>
        <v>341.2</v>
      </c>
      <c r="E32" s="31">
        <f ca="1">441.9*OFFSET(E$112,MATCH($N$1,$C$112:$C$113,0)-1,0)</f>
        <v>441.9</v>
      </c>
      <c r="F32" s="31">
        <f ca="1">393.7*OFFSET(F$112,MATCH($N$1,$C$112:$C$113,0)-1,0)</f>
        <v>393.7</v>
      </c>
      <c r="G32" s="31">
        <f ca="1">570.5*OFFSET(G$112,MATCH($N$1,$C$112:$C$113,0)-1,0)</f>
        <v>570.5</v>
      </c>
      <c r="H32" s="31">
        <f ca="1">504.9*OFFSET(H$112,MATCH($N$1,$C$112:$C$113,0)-1,0)</f>
        <v>504.9</v>
      </c>
      <c r="I32" s="31">
        <f ca="1">644.7*OFFSET(I$112,MATCH($N$1,$C$112:$C$113,0)-1,0)</f>
        <v>644.70000000000005</v>
      </c>
      <c r="J32" s="31">
        <f ca="1">684.4*OFFSET(J$112,MATCH($N$1,$C$112:$C$113,0)-1,0)</f>
        <v>684.4</v>
      </c>
      <c r="K32" s="31">
        <f ca="1">792.5*OFFSET(K$112,MATCH($N$1,$C$112:$C$113,0)-1,0)</f>
        <v>792.5</v>
      </c>
      <c r="L32" s="31">
        <f ca="1">769*OFFSET(L$112,MATCH($N$1,$C$112:$C$113,0)-1,0)</f>
        <v>769</v>
      </c>
      <c r="M32" s="31">
        <f ca="1">695.3*OFFSET(M$112,MATCH($N$1,$C$112:$C$113,0)-1,0)</f>
        <v>695.3</v>
      </c>
      <c r="N32" s="31">
        <v>510.8</v>
      </c>
      <c r="O32" s="28">
        <f t="shared" ca="1" si="0"/>
        <v>0.49706916764361087</v>
      </c>
      <c r="P32" s="28">
        <f t="shared" ca="1" si="1"/>
        <v>-0.25365283459964927</v>
      </c>
    </row>
    <row r="33" spans="1:16" ht="18" customHeight="1">
      <c r="A33" s="178"/>
      <c r="B33" s="35" t="s">
        <v>208</v>
      </c>
      <c r="C33" s="31"/>
      <c r="D33" s="31">
        <f ca="1">740.5*OFFSET(D$112,MATCH($N$1,$C$112:$C$113,0)-1,0)</f>
        <v>740.5</v>
      </c>
      <c r="E33" s="31">
        <f ca="1">890.4*OFFSET(E$112,MATCH($N$1,$C$112:$C$113,0)-1,0)</f>
        <v>890.4</v>
      </c>
      <c r="F33" s="31">
        <f ca="1">831.8*OFFSET(F$112,MATCH($N$1,$C$112:$C$113,0)-1,0)</f>
        <v>831.8</v>
      </c>
      <c r="G33" s="31">
        <f ca="1">1040.7*OFFSET(G$112,MATCH($N$1,$C$112:$C$113,0)-1,0)</f>
        <v>1040.7</v>
      </c>
      <c r="H33" s="31">
        <f ca="1">944*OFFSET(H$112,MATCH($N$1,$C$112:$C$113,0)-1,0)</f>
        <v>944</v>
      </c>
      <c r="I33" s="31">
        <f ca="1">1127.9*OFFSET(I$112,MATCH($N$1,$C$112:$C$113,0)-1,0)</f>
        <v>1127.9000000000001</v>
      </c>
      <c r="J33" s="31">
        <f ca="1">1326.3*OFFSET(J$112,MATCH($N$1,$C$112:$C$113,0)-1,0)</f>
        <v>1326.3</v>
      </c>
      <c r="K33" s="31">
        <f ca="1">1539.2*OFFSET(K$112,MATCH($N$1,$C$112:$C$113,0)-1,0)</f>
        <v>1539.2</v>
      </c>
      <c r="L33" s="31">
        <f ca="1">1549.6*OFFSET(L$112,MATCH($N$1,$C$112:$C$113,0)-1,0)</f>
        <v>1549.6</v>
      </c>
      <c r="M33" s="31">
        <f ca="1">1540.8*OFFSET(M$112,MATCH($N$1,$C$112:$C$113,0)-1,0)</f>
        <v>1540.8</v>
      </c>
      <c r="N33" s="31">
        <v>1123.8</v>
      </c>
      <c r="O33" s="28">
        <f t="shared" ca="1" si="0"/>
        <v>0.5176232275489534</v>
      </c>
      <c r="P33" s="28">
        <f t="shared" ca="1" si="1"/>
        <v>-0.15268038905225062</v>
      </c>
    </row>
    <row r="34" spans="1:16" ht="18" customHeight="1">
      <c r="A34" s="178"/>
      <c r="B34" s="35" t="s">
        <v>209</v>
      </c>
      <c r="C34" s="31"/>
      <c r="D34" s="31">
        <f ca="1">225.7*OFFSET(D$112,MATCH($N$1,$C$112:$C$113,0)-1,0)</f>
        <v>225.7</v>
      </c>
      <c r="E34" s="31">
        <f ca="1">210.3*OFFSET(E$112,MATCH($N$1,$C$112:$C$113,0)-1,0)</f>
        <v>210.3</v>
      </c>
      <c r="F34" s="31">
        <f ca="1">219*OFFSET(F$112,MATCH($N$1,$C$112:$C$113,0)-1,0)</f>
        <v>219</v>
      </c>
      <c r="G34" s="31">
        <f ca="1">248.2*OFFSET(G$112,MATCH($N$1,$C$112:$C$113,0)-1,0)</f>
        <v>248.2</v>
      </c>
      <c r="H34" s="31">
        <f ca="1">298.5*OFFSET(H$112,MATCH($N$1,$C$112:$C$113,0)-1,0)</f>
        <v>298.5</v>
      </c>
      <c r="I34" s="31">
        <f ca="1">332.8*OFFSET(I$112,MATCH($N$1,$C$112:$C$113,0)-1,0)</f>
        <v>332.8</v>
      </c>
      <c r="J34" s="31">
        <f ca="1">301.9*OFFSET(J$112,MATCH($N$1,$C$112:$C$113,0)-1,0)</f>
        <v>301.89999999999998</v>
      </c>
      <c r="K34" s="31">
        <f ca="1">363.7*OFFSET(K$112,MATCH($N$1,$C$112:$C$113,0)-1,0)</f>
        <v>363.7</v>
      </c>
      <c r="L34" s="31">
        <f ca="1">268.4*OFFSET(L$112,MATCH($N$1,$C$112:$C$113,0)-1,0)</f>
        <v>268.39999999999998</v>
      </c>
      <c r="M34" s="31">
        <f ca="1">381.5*OFFSET(M$112,MATCH($N$1,$C$112:$C$113,0)-1,0)</f>
        <v>381.5</v>
      </c>
      <c r="N34" s="31">
        <v>346.6</v>
      </c>
      <c r="O34" s="28">
        <f t="shared" ca="1" si="0"/>
        <v>0.53566681435533914</v>
      </c>
      <c r="P34" s="28">
        <f t="shared" ca="1" si="1"/>
        <v>0.1480622722755881</v>
      </c>
    </row>
    <row r="35" spans="1:16" ht="18" customHeight="1">
      <c r="A35" s="178"/>
      <c r="B35" s="35" t="s">
        <v>210</v>
      </c>
      <c r="C35" s="31"/>
      <c r="D35" s="31">
        <f ca="1">966.2*OFFSET(D$112,MATCH($N$1,$C$112:$C$113,0)-1,0)</f>
        <v>966.2</v>
      </c>
      <c r="E35" s="31">
        <f ca="1">1100.7*OFFSET(E$112,MATCH($N$1,$C$112:$C$113,0)-1,0)</f>
        <v>1100.7</v>
      </c>
      <c r="F35" s="31">
        <f ca="1">1050.9*OFFSET(F$112,MATCH($N$1,$C$112:$C$113,0)-1,0)</f>
        <v>1050.9000000000001</v>
      </c>
      <c r="G35" s="31">
        <f ca="1">1288.9*OFFSET(G$112,MATCH($N$1,$C$112:$C$113,0)-1,0)</f>
        <v>1288.9000000000001</v>
      </c>
      <c r="H35" s="31">
        <f ca="1">1242.6*OFFSET(H$112,MATCH($N$1,$C$112:$C$113,0)-1,0)</f>
        <v>1242.5999999999999</v>
      </c>
      <c r="I35" s="31">
        <f ca="1">1460.7*OFFSET(I$112,MATCH($N$1,$C$112:$C$113,0)-1,0)</f>
        <v>1460.7</v>
      </c>
      <c r="J35" s="31">
        <f ca="1">1628.2*OFFSET(J$112,MATCH($N$1,$C$112:$C$113,0)-1,0)</f>
        <v>1628.2</v>
      </c>
      <c r="K35" s="31">
        <f ca="1">1902.9*OFFSET(K$112,MATCH($N$1,$C$112:$C$113,0)-1,0)</f>
        <v>1902.9</v>
      </c>
      <c r="L35" s="31">
        <f ca="1">1818*OFFSET(L$112,MATCH($N$1,$C$112:$C$113,0)-1,0)</f>
        <v>1818</v>
      </c>
      <c r="M35" s="31">
        <f ca="1">1922.3*OFFSET(M$112,MATCH($N$1,$C$112:$C$113,0)-1,0)</f>
        <v>1922.3</v>
      </c>
      <c r="N35" s="31">
        <v>1470.4</v>
      </c>
      <c r="O35" s="28">
        <f t="shared" ca="1" si="0"/>
        <v>0.52183812875181124</v>
      </c>
      <c r="P35" s="28">
        <f t="shared" ca="1" si="1"/>
        <v>-9.6916840682962746E-2</v>
      </c>
    </row>
    <row r="36" spans="1:16" ht="18" customHeight="1">
      <c r="A36" s="178"/>
      <c r="B36" s="40" t="s">
        <v>211</v>
      </c>
      <c r="C36" s="41"/>
      <c r="D36" s="41">
        <f ca="1">383.1*OFFSET(D$112,MATCH($N$1,$C$112:$C$113,0)-1,0)</f>
        <v>383.1</v>
      </c>
      <c r="E36" s="41">
        <f ca="1">401.4*OFFSET(E$112,MATCH($N$1,$C$112:$C$113,0)-1,0)</f>
        <v>401.4</v>
      </c>
      <c r="F36" s="41">
        <f ca="1">399.1*OFFSET(F$112,MATCH($N$1,$C$112:$C$113,0)-1,0)</f>
        <v>399.1</v>
      </c>
      <c r="G36" s="41">
        <f ca="1">612.5*OFFSET(G$112,MATCH($N$1,$C$112:$C$113,0)-1,0)</f>
        <v>612.5</v>
      </c>
      <c r="H36" s="41">
        <f ca="1">637*OFFSET(H$112,MATCH($N$1,$C$112:$C$113,0)-1,0)</f>
        <v>637</v>
      </c>
      <c r="I36" s="41">
        <f ca="1">507.5*OFFSET(I$112,MATCH($N$1,$C$112:$C$113,0)-1,0)</f>
        <v>507.5</v>
      </c>
      <c r="J36" s="41">
        <f ca="1">983.1*OFFSET(J$112,MATCH($N$1,$C$112:$C$113,0)-1,0)</f>
        <v>983.1</v>
      </c>
      <c r="K36" s="41">
        <f ca="1">999.5*OFFSET(K$112,MATCH($N$1,$C$112:$C$113,0)-1,0)</f>
        <v>999.5</v>
      </c>
      <c r="L36" s="41">
        <f ca="1">890.4*OFFSET(L$112,MATCH($N$1,$C$112:$C$113,0)-1,0)</f>
        <v>890.4</v>
      </c>
      <c r="M36" s="41">
        <f ca="1">936.3*OFFSET(M$112,MATCH($N$1,$C$112:$C$113,0)-1,0)</f>
        <v>936.3</v>
      </c>
      <c r="N36" s="41">
        <v>638.70000000000005</v>
      </c>
      <c r="O36" s="28">
        <f t="shared" ca="1" si="0"/>
        <v>0.66718872357086922</v>
      </c>
      <c r="P36" s="28">
        <f t="shared" ca="1" si="1"/>
        <v>-0.35032041501373207</v>
      </c>
    </row>
    <row r="37" spans="1:16" ht="18" customHeight="1">
      <c r="A37" s="178"/>
      <c r="B37" s="40" t="s">
        <v>212</v>
      </c>
      <c r="C37" s="41"/>
      <c r="D37" s="41">
        <f ca="1">116*OFFSET(D$112,MATCH($N$1,$C$112:$C$113,0)-1,0)</f>
        <v>116</v>
      </c>
      <c r="E37" s="41">
        <f ca="1">124.8*OFFSET(E$112,MATCH($N$1,$C$112:$C$113,0)-1,0)</f>
        <v>124.8</v>
      </c>
      <c r="F37" s="41">
        <f ca="1">118.4*OFFSET(F$112,MATCH($N$1,$C$112:$C$113,0)-1,0)</f>
        <v>118.4</v>
      </c>
      <c r="G37" s="41">
        <f ca="1">298.9*OFFSET(G$112,MATCH($N$1,$C$112:$C$113,0)-1,0)</f>
        <v>298.89999999999998</v>
      </c>
      <c r="H37" s="41">
        <f ca="1">330.2*OFFSET(H$112,MATCH($N$1,$C$112:$C$113,0)-1,0)</f>
        <v>330.2</v>
      </c>
      <c r="I37" s="41">
        <f ca="1">142.4*OFFSET(I$112,MATCH($N$1,$C$112:$C$113,0)-1,0)</f>
        <v>142.4</v>
      </c>
      <c r="J37" s="41">
        <f ca="1">458.9*OFFSET(J$112,MATCH($N$1,$C$112:$C$113,0)-1,0)</f>
        <v>458.9</v>
      </c>
      <c r="K37" s="41">
        <f ca="1">391*OFFSET(K$112,MATCH($N$1,$C$112:$C$113,0)-1,0)</f>
        <v>391</v>
      </c>
      <c r="L37" s="41">
        <f ca="1">294.6*OFFSET(L$112,MATCH($N$1,$C$112:$C$113,0)-1,0)</f>
        <v>294.60000000000002</v>
      </c>
      <c r="M37" s="41">
        <f ca="1">275.6*OFFSET(M$112,MATCH($N$1,$C$112:$C$113,0)-1,0)</f>
        <v>275.60000000000002</v>
      </c>
      <c r="N37" s="41">
        <v>145</v>
      </c>
      <c r="O37" s="28">
        <f t="shared" ca="1" si="0"/>
        <v>0.25</v>
      </c>
      <c r="P37" s="28">
        <f t="shared" ca="1" si="1"/>
        <v>-0.68402702113750269</v>
      </c>
    </row>
    <row r="38" spans="1:16" ht="18" customHeight="1">
      <c r="A38" s="178"/>
      <c r="B38" s="35" t="s">
        <v>213</v>
      </c>
      <c r="C38" s="31"/>
      <c r="D38" s="31">
        <f ca="1">57.6*OFFSET(D$112,MATCH($N$1,$C$112:$C$113,0)-1,0)</f>
        <v>57.6</v>
      </c>
      <c r="E38" s="31">
        <f ca="1">46.7*OFFSET(E$112,MATCH($N$1,$C$112:$C$113,0)-1,0)</f>
        <v>46.7</v>
      </c>
      <c r="F38" s="31">
        <f ca="1">51.9*OFFSET(F$112,MATCH($N$1,$C$112:$C$113,0)-1,0)</f>
        <v>51.9</v>
      </c>
      <c r="G38" s="31">
        <f ca="1">69.1*OFFSET(G$112,MATCH($N$1,$C$112:$C$113,0)-1,0)</f>
        <v>69.099999999999994</v>
      </c>
      <c r="H38" s="31">
        <f ca="1">50*OFFSET(H$112,MATCH($N$1,$C$112:$C$113,0)-1,0)</f>
        <v>50</v>
      </c>
      <c r="I38" s="31">
        <f ca="1">97.4*OFFSET(I$112,MATCH($N$1,$C$112:$C$113,0)-1,0)</f>
        <v>97.4</v>
      </c>
      <c r="J38" s="31">
        <f ca="1">107*OFFSET(J$112,MATCH($N$1,$C$112:$C$113,0)-1,0)</f>
        <v>107</v>
      </c>
      <c r="K38" s="31">
        <f ca="1">94.2*OFFSET(K$112,MATCH($N$1,$C$112:$C$113,0)-1,0)</f>
        <v>94.2</v>
      </c>
      <c r="L38" s="31">
        <f ca="1">90.6*OFFSET(L$112,MATCH($N$1,$C$112:$C$113,0)-1,0)</f>
        <v>90.6</v>
      </c>
      <c r="M38" s="31">
        <f ca="1">88.3*OFFSET(M$112,MATCH($N$1,$C$112:$C$113,0)-1,0)</f>
        <v>88.3</v>
      </c>
      <c r="N38" s="31"/>
      <c r="O38" s="28" t="str">
        <f t="shared" si="0"/>
        <v/>
      </c>
      <c r="P38" s="28" t="str">
        <f t="shared" si="1"/>
        <v/>
      </c>
    </row>
    <row r="39" spans="1:16" ht="18" customHeight="1">
      <c r="A39" s="178"/>
      <c r="B39" s="35" t="s">
        <v>214</v>
      </c>
      <c r="C39" s="31"/>
      <c r="D39" s="31">
        <f ca="1">10.1*OFFSET(D$112,MATCH($N$1,$C$112:$C$113,0)-1,0)</f>
        <v>10.1</v>
      </c>
      <c r="E39" s="31">
        <f ca="1">13.2*OFFSET(E$112,MATCH($N$1,$C$112:$C$113,0)-1,0)</f>
        <v>13.2</v>
      </c>
      <c r="F39" s="31">
        <f ca="1">17.6*OFFSET(F$112,MATCH($N$1,$C$112:$C$113,0)-1,0)</f>
        <v>17.600000000000001</v>
      </c>
      <c r="G39" s="31">
        <f ca="1">15.7*OFFSET(G$112,MATCH($N$1,$C$112:$C$113,0)-1,0)</f>
        <v>15.7</v>
      </c>
      <c r="H39" s="31">
        <f ca="1">2.7*OFFSET(H$112,MATCH($N$1,$C$112:$C$113,0)-1,0)</f>
        <v>2.7</v>
      </c>
      <c r="I39" s="31">
        <f ca="1">3.2*OFFSET(I$112,MATCH($N$1,$C$112:$C$113,0)-1,0)</f>
        <v>3.2</v>
      </c>
      <c r="J39" s="31">
        <f ca="1">2.9*OFFSET(J$112,MATCH($N$1,$C$112:$C$113,0)-1,0)</f>
        <v>2.9</v>
      </c>
      <c r="K39" s="31">
        <f ca="1">3.6*OFFSET(K$112,MATCH($N$1,$C$112:$C$113,0)-1,0)</f>
        <v>3.6</v>
      </c>
      <c r="L39" s="31">
        <f ca="1">3.5*OFFSET(L$112,MATCH($N$1,$C$112:$C$113,0)-1,0)</f>
        <v>3.5</v>
      </c>
      <c r="M39" s="31">
        <f ca="1">3.3*OFFSET(M$112,MATCH($N$1,$C$112:$C$113,0)-1,0)</f>
        <v>3.3</v>
      </c>
      <c r="N39" s="31"/>
      <c r="O39" s="28" t="str">
        <f t="shared" si="0"/>
        <v/>
      </c>
      <c r="P39" s="28" t="str">
        <f t="shared" si="1"/>
        <v/>
      </c>
    </row>
    <row r="40" spans="1:16" ht="18" customHeight="1">
      <c r="A40" s="178"/>
      <c r="B40" s="35" t="s">
        <v>215</v>
      </c>
      <c r="C40" s="31"/>
      <c r="D40" s="31">
        <f ca="1">0.1*OFFSET(D$112,MATCH($N$1,$C$112:$C$113,0)-1,0)</f>
        <v>0.1</v>
      </c>
      <c r="E40" s="31">
        <f ca="1">2*OFFSET(E$112,MATCH($N$1,$C$112:$C$113,0)-1,0)</f>
        <v>2</v>
      </c>
      <c r="F40" s="31">
        <f ca="1">2.3*OFFSET(F$112,MATCH($N$1,$C$112:$C$113,0)-1,0)</f>
        <v>2.2999999999999998</v>
      </c>
      <c r="G40" s="31">
        <f ca="1">8.1*OFFSET(G$112,MATCH($N$1,$C$112:$C$113,0)-1,0)</f>
        <v>8.1</v>
      </c>
      <c r="H40" s="31">
        <f ca="1">0.8*OFFSET(H$112,MATCH($N$1,$C$112:$C$113,0)-1,0)</f>
        <v>0.8</v>
      </c>
      <c r="I40" s="31">
        <f ca="1">1.2*OFFSET(I$112,MATCH($N$1,$C$112:$C$113,0)-1,0)</f>
        <v>1.2</v>
      </c>
      <c r="J40" s="31">
        <f ca="1">1.4*OFFSET(J$112,MATCH($N$1,$C$112:$C$113,0)-1,0)</f>
        <v>1.4</v>
      </c>
      <c r="K40" s="31">
        <f ca="1">0.6*OFFSET(K$112,MATCH($N$1,$C$112:$C$113,0)-1,0)</f>
        <v>0.6</v>
      </c>
      <c r="L40" s="31">
        <f ca="1">3.2*OFFSET(L$112,MATCH($N$1,$C$112:$C$113,0)-1,0)</f>
        <v>3.2</v>
      </c>
      <c r="M40" s="31">
        <f ca="1">3.3*OFFSET(M$112,MATCH($N$1,$C$112:$C$113,0)-1,0)</f>
        <v>3.3</v>
      </c>
      <c r="N40" s="31"/>
      <c r="O40" s="28" t="str">
        <f t="shared" si="0"/>
        <v/>
      </c>
      <c r="P40" s="28" t="str">
        <f t="shared" si="1"/>
        <v/>
      </c>
    </row>
    <row r="41" spans="1:16" ht="18" customHeight="1" thickBot="1">
      <c r="A41" s="179"/>
      <c r="B41" s="42" t="s">
        <v>216</v>
      </c>
      <c r="C41" s="43"/>
      <c r="D41" s="43">
        <f ca="1">48.2*OFFSET(D$112,MATCH($N$1,$C$112:$C$113,0)-1,0)</f>
        <v>48.2</v>
      </c>
      <c r="E41" s="43">
        <f ca="1">62.9*OFFSET(E$112,MATCH($N$1,$C$112:$C$113,0)-1,0)</f>
        <v>62.9</v>
      </c>
      <c r="F41" s="43">
        <f ca="1">46.6*OFFSET(F$112,MATCH($N$1,$C$112:$C$113,0)-1,0)</f>
        <v>46.6</v>
      </c>
      <c r="G41" s="43">
        <f ca="1">206*OFFSET(G$112,MATCH($N$1,$C$112:$C$113,0)-1,0)</f>
        <v>206</v>
      </c>
      <c r="H41" s="43">
        <f ca="1">276.8*OFFSET(H$112,MATCH($N$1,$C$112:$C$113,0)-1,0)</f>
        <v>276.8</v>
      </c>
      <c r="I41" s="43">
        <f ca="1">40.5*OFFSET(I$112,MATCH($N$1,$C$112:$C$113,0)-1,0)</f>
        <v>40.5</v>
      </c>
      <c r="J41" s="43">
        <f ca="1">347.5*OFFSET(J$112,MATCH($N$1,$C$112:$C$113,0)-1,0)</f>
        <v>347.5</v>
      </c>
      <c r="K41" s="43">
        <f ca="1">292.6*OFFSET(K$112,MATCH($N$1,$C$112:$C$113,0)-1,0)</f>
        <v>292.60000000000002</v>
      </c>
      <c r="L41" s="43">
        <f ca="1">197.3*OFFSET(L$112,MATCH($N$1,$C$112:$C$113,0)-1,0)</f>
        <v>197.3</v>
      </c>
      <c r="M41" s="43">
        <f ca="1">180.7*OFFSET(M$112,MATCH($N$1,$C$112:$C$113,0)-1,0)</f>
        <v>180.7</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159</v>
      </c>
      <c r="F46" s="90" t="s">
        <v>159</v>
      </c>
      <c r="G46" s="90" t="s">
        <v>159</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NSWOS demersal pair trawl seine</v>
      </c>
      <c r="B48" s="202"/>
      <c r="C48" s="92"/>
      <c r="D48" s="92"/>
      <c r="E48" s="92"/>
      <c r="F48" s="92"/>
      <c r="G48" s="92"/>
      <c r="H48" s="202"/>
      <c r="I48" s="202"/>
      <c r="J48" s="202"/>
      <c r="K48" s="92" t="str">
        <f>$B24&amp;CHAR(10)&amp;$A$1</f>
        <v>Operating profit per kW day at sea (£)
NSWOS demersal pair trawl seine</v>
      </c>
      <c r="L48" s="202"/>
      <c r="M48" s="202"/>
      <c r="N48" s="202"/>
      <c r="O48" s="202"/>
      <c r="P48" s="202"/>
    </row>
    <row r="49" spans="1:11" s="80" customFormat="1">
      <c r="A49" s="92" t="str">
        <f>$B22&amp;CHAR(10)&amp;$A$1</f>
        <v>Fishing income per kW day at sea (£)
NSWOS demersal pair trawl seine</v>
      </c>
      <c r="B49" s="202"/>
      <c r="C49" s="202"/>
      <c r="D49" s="202"/>
      <c r="E49" s="202"/>
      <c r="F49" s="202"/>
      <c r="G49" s="202"/>
      <c r="H49" s="202"/>
      <c r="I49" s="202"/>
      <c r="J49" s="202"/>
      <c r="K49" s="202"/>
    </row>
    <row r="50" spans="1:11" s="80" customFormat="1">
      <c r="A50" s="92" t="str">
        <f>$B20&amp;CHAR(10)&amp;$A$1</f>
        <v>Average price per tonne landed (£)
NSWOS demersal pair trawl seine</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NSWOS demersal pair trawl seine</v>
      </c>
      <c r="C62" s="202"/>
      <c r="D62" s="202"/>
      <c r="E62" s="202"/>
      <c r="F62" s="92" t="str">
        <f>$B20&amp;CHAR(10)&amp;$A$1</f>
        <v>Average price per tonne landed (£)
NSWOS demersal pair trawl seine</v>
      </c>
      <c r="G62" s="202"/>
      <c r="H62" s="202"/>
      <c r="I62" s="202"/>
      <c r="J62" s="202"/>
      <c r="K62" s="92" t="str">
        <f>"Average annual operating profit per vessel (£'000)"&amp;CHAR(10)&amp;$A$1</f>
        <v>Average annual operating profit per vessel (£'000)
NSWOS demersal pair trawl seine</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NSWOS demersal pair trawl seine</v>
      </c>
      <c r="F76" s="92" t="str">
        <f>"Top 5 landed species by value in "&amp;A77&amp;CHAR(10)&amp;A1</f>
        <v>Top 5 landed species by value in 2019
NSWOS demersal pair trawl seine</v>
      </c>
    </row>
    <row r="77" spans="1:11" s="92" customFormat="1">
      <c r="A77" s="92">
        <v>2019</v>
      </c>
      <c r="B77" s="92" t="s">
        <v>453</v>
      </c>
      <c r="C77" s="93">
        <v>0.33137557638356835</v>
      </c>
      <c r="D77" s="94">
        <v>12153634</v>
      </c>
      <c r="G77" s="92" t="s">
        <v>454</v>
      </c>
      <c r="H77" s="93">
        <v>0.2805672284094512</v>
      </c>
      <c r="I77" s="94">
        <v>12153634</v>
      </c>
      <c r="K77" s="92" t="s">
        <v>230</v>
      </c>
    </row>
    <row r="78" spans="1:11" s="92" customFormat="1">
      <c r="B78" s="92" t="s">
        <v>455</v>
      </c>
      <c r="C78" s="93">
        <v>0.18308458200797273</v>
      </c>
      <c r="D78" s="94">
        <v>3689192</v>
      </c>
      <c r="G78" s="92" t="s">
        <v>456</v>
      </c>
      <c r="H78" s="93">
        <v>0.25100785538796633</v>
      </c>
      <c r="I78" s="94">
        <v>553960</v>
      </c>
    </row>
    <row r="79" spans="1:11" s="92" customFormat="1">
      <c r="B79" s="92" t="s">
        <v>457</v>
      </c>
      <c r="C79" s="93">
        <v>0.16252184573688647</v>
      </c>
      <c r="D79" s="94">
        <v>553960</v>
      </c>
      <c r="G79" s="92" t="s">
        <v>458</v>
      </c>
      <c r="H79" s="93">
        <v>0.13979070861564211</v>
      </c>
      <c r="I79" s="94">
        <v>3050596</v>
      </c>
    </row>
    <row r="80" spans="1:11" s="92" customFormat="1">
      <c r="B80" s="92" t="s">
        <v>459</v>
      </c>
      <c r="C80" s="93">
        <v>0.144706514031578</v>
      </c>
      <c r="D80" s="94">
        <v>1692097</v>
      </c>
      <c r="G80" s="92" t="s">
        <v>460</v>
      </c>
      <c r="H80" s="93">
        <v>0.1104238704370377</v>
      </c>
      <c r="I80" s="94">
        <v>1692097</v>
      </c>
    </row>
    <row r="81" spans="1:19" s="92" customFormat="1">
      <c r="B81" s="92" t="s">
        <v>461</v>
      </c>
      <c r="C81" s="93">
        <v>0.10405399662481676</v>
      </c>
      <c r="D81" s="94">
        <v>3050596</v>
      </c>
      <c r="G81" s="92" t="s">
        <v>462</v>
      </c>
      <c r="H81" s="93">
        <v>0.10786978920271661</v>
      </c>
      <c r="I81" s="94">
        <v>3689192</v>
      </c>
    </row>
    <row r="82" spans="1:19" s="92" customFormat="1">
      <c r="B82" s="92" t="s">
        <v>463</v>
      </c>
      <c r="C82" s="93">
        <v>7.4257485215177721E-2</v>
      </c>
      <c r="D82" s="94">
        <v>5920853</v>
      </c>
      <c r="G82" s="92" t="s">
        <v>464</v>
      </c>
      <c r="H82" s="93">
        <v>0.11034054794718595</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157</v>
      </c>
      <c r="D92" s="98">
        <v>0.35237343075609789</v>
      </c>
      <c r="E92" s="98">
        <v>0.35239735739472361</v>
      </c>
      <c r="F92" s="98">
        <v>0.43569989956170779</v>
      </c>
      <c r="G92" s="98">
        <v>0.45572136728729962</v>
      </c>
      <c r="H92" s="98">
        <v>0.39313096614794296</v>
      </c>
      <c r="I92" s="98">
        <v>0.31525322249881704</v>
      </c>
      <c r="J92" s="98">
        <v>0.31165261645158288</v>
      </c>
      <c r="K92" s="98">
        <v>0.26997341836128275</v>
      </c>
      <c r="L92" s="98">
        <v>0.2805672284094512</v>
      </c>
      <c r="M92" s="98">
        <v>0.32536858547973979</v>
      </c>
      <c r="O92" s="92">
        <v>12153634</v>
      </c>
    </row>
    <row r="93" spans="1:19" s="92" customFormat="1" hidden="1">
      <c r="B93" s="92">
        <v>2</v>
      </c>
      <c r="C93" s="92" t="s">
        <v>241</v>
      </c>
      <c r="D93" s="98">
        <v>0.27961659003839762</v>
      </c>
      <c r="E93" s="98">
        <v>0.272732262837241</v>
      </c>
      <c r="F93" s="98">
        <v>0.24821049059428049</v>
      </c>
      <c r="G93" s="98">
        <v>0.25206868056234105</v>
      </c>
      <c r="H93" s="98">
        <v>0.27458945988326627</v>
      </c>
      <c r="I93" s="98">
        <v>0.30305407697875503</v>
      </c>
      <c r="J93" s="98">
        <v>0.30344021761794321</v>
      </c>
      <c r="K93" s="98">
        <v>0.29539099634776611</v>
      </c>
      <c r="L93" s="98">
        <v>0.25100785538796633</v>
      </c>
      <c r="M93" s="98">
        <v>0.22836332208304647</v>
      </c>
      <c r="O93" s="92">
        <v>553960</v>
      </c>
    </row>
    <row r="94" spans="1:19" s="92" customFormat="1" hidden="1">
      <c r="B94" s="92">
        <v>3</v>
      </c>
      <c r="C94" s="92" t="s">
        <v>165</v>
      </c>
      <c r="D94" s="98">
        <v>6.8361287480473529E-2</v>
      </c>
      <c r="E94" s="98">
        <v>0.10323048257790415</v>
      </c>
      <c r="F94" s="98">
        <v>6.5939526086595812E-2</v>
      </c>
      <c r="G94" s="98">
        <v>7.5130450908800009E-2</v>
      </c>
      <c r="H94" s="98">
        <v>8.6951573196641152E-2</v>
      </c>
      <c r="I94" s="98">
        <v>0.11397079997032863</v>
      </c>
      <c r="J94" s="98">
        <v>0.13633657683190104</v>
      </c>
      <c r="K94" s="98">
        <v>0.13665158339448044</v>
      </c>
      <c r="L94" s="98">
        <v>0.13979070861564211</v>
      </c>
      <c r="M94" s="98">
        <v>0.11178934918441785</v>
      </c>
      <c r="O94" s="92">
        <v>3050596</v>
      </c>
    </row>
    <row r="95" spans="1:19" s="92" customFormat="1" hidden="1">
      <c r="B95" s="92">
        <v>4</v>
      </c>
      <c r="C95" s="92" t="s">
        <v>329</v>
      </c>
      <c r="D95" s="98">
        <v>0.10771897157248587</v>
      </c>
      <c r="E95" s="98">
        <v>0.10502281906001214</v>
      </c>
      <c r="F95" s="98">
        <v>0.10149966814764605</v>
      </c>
      <c r="G95" s="98">
        <v>8.3691051558998947E-2</v>
      </c>
      <c r="H95" s="98">
        <v>8.2947646164777192E-2</v>
      </c>
      <c r="I95" s="98">
        <v>7.1452072226729751E-2</v>
      </c>
      <c r="J95" s="98">
        <v>7.4098710179027971E-2</v>
      </c>
      <c r="K95" s="98">
        <v>8.7831940893330671E-2</v>
      </c>
      <c r="L95" s="98">
        <v>0.1104238704370377</v>
      </c>
      <c r="M95" s="98">
        <v>0.12141408034771863</v>
      </c>
      <c r="O95" s="92">
        <v>1692097</v>
      </c>
    </row>
    <row r="96" spans="1:19" s="92" customFormat="1" hidden="1">
      <c r="B96" s="92">
        <v>5</v>
      </c>
      <c r="C96" s="92" t="s">
        <v>345</v>
      </c>
      <c r="D96" s="98">
        <v>0.10530739750309752</v>
      </c>
      <c r="E96" s="98">
        <v>8.346386482172731E-2</v>
      </c>
      <c r="F96" s="98">
        <v>7.9000062001669855E-2</v>
      </c>
      <c r="G96" s="98">
        <v>7.4743093822931927E-2</v>
      </c>
      <c r="H96" s="98">
        <v>7.8761213691446952E-2</v>
      </c>
      <c r="I96" s="98">
        <v>7.8732786348224768E-2</v>
      </c>
      <c r="J96" s="98">
        <v>6.0383455791543569E-2</v>
      </c>
      <c r="K96" s="98">
        <v>8.3616553680395903E-2</v>
      </c>
      <c r="L96" s="98">
        <v>0.10786978920271661</v>
      </c>
      <c r="M96" s="98">
        <v>0.10647317219344334</v>
      </c>
      <c r="O96" s="92">
        <v>3689192</v>
      </c>
    </row>
    <row r="97" spans="1:15" s="92" customFormat="1" hidden="1">
      <c r="B97" s="92">
        <v>6</v>
      </c>
      <c r="C97" s="92" t="s">
        <v>245</v>
      </c>
      <c r="D97" s="98">
        <v>8.6622322649447539E-2</v>
      </c>
      <c r="E97" s="98">
        <v>8.315321330839176E-2</v>
      </c>
      <c r="F97" s="98">
        <v>6.9650353608100027E-2</v>
      </c>
      <c r="G97" s="98">
        <v>5.8645355859628427E-2</v>
      </c>
      <c r="H97" s="98">
        <v>8.3619140915925441E-2</v>
      </c>
      <c r="I97" s="98">
        <v>0.11753704197714476</v>
      </c>
      <c r="J97" s="98">
        <v>0.11408842312800131</v>
      </c>
      <c r="K97" s="98">
        <v>0.1265355073227441</v>
      </c>
      <c r="L97" s="98">
        <v>0.11034054794718602</v>
      </c>
      <c r="M97" s="98">
        <v>0.10659149071163394</v>
      </c>
      <c r="O97" s="92">
        <v>5920853</v>
      </c>
    </row>
    <row r="98" spans="1:15" s="92" customFormat="1" hidden="1">
      <c r="B98" s="92">
        <v>7</v>
      </c>
      <c r="D98" s="98"/>
      <c r="E98" s="98"/>
      <c r="F98" s="98"/>
      <c r="G98" s="98"/>
      <c r="H98" s="98"/>
      <c r="I98" s="98"/>
      <c r="J98" s="98"/>
      <c r="K98" s="98"/>
      <c r="L98" s="98"/>
      <c r="M98" s="98"/>
      <c r="O98" s="92">
        <v>2480382</v>
      </c>
    </row>
    <row r="99" spans="1:15" s="92" customFormat="1" hidden="1">
      <c r="B99" s="92">
        <v>8</v>
      </c>
      <c r="D99" s="98"/>
      <c r="E99" s="98"/>
      <c r="F99" s="98"/>
      <c r="G99" s="98"/>
      <c r="H99" s="98"/>
      <c r="I99" s="98"/>
      <c r="J99" s="98"/>
      <c r="K99" s="98"/>
      <c r="L99" s="98"/>
      <c r="M99" s="98"/>
      <c r="O99" s="92">
        <v>7434864</v>
      </c>
    </row>
    <row r="100" spans="1:15" s="92" customFormat="1" hidden="1">
      <c r="B100" s="92">
        <v>9</v>
      </c>
      <c r="D100" s="98"/>
      <c r="E100" s="98"/>
      <c r="F100" s="98"/>
      <c r="G100" s="98"/>
      <c r="H100" s="98"/>
      <c r="I100" s="98"/>
      <c r="J100" s="98"/>
      <c r="K100" s="98"/>
      <c r="L100" s="98"/>
      <c r="M100" s="98"/>
      <c r="O100" s="92">
        <v>8497745</v>
      </c>
    </row>
    <row r="101" spans="1:15" s="92" customFormat="1" hidden="1">
      <c r="B101" s="92">
        <v>10</v>
      </c>
      <c r="D101" s="98"/>
      <c r="E101" s="98"/>
      <c r="F101" s="98"/>
      <c r="G101" s="98"/>
      <c r="H101" s="98"/>
      <c r="I101" s="98"/>
      <c r="J101" s="98"/>
      <c r="K101" s="98"/>
      <c r="L101" s="98"/>
      <c r="M101" s="98"/>
      <c r="O101" s="92">
        <v>14393110</v>
      </c>
    </row>
    <row r="102" spans="1:15" s="92" customFormat="1" hidden="1">
      <c r="B102" s="92">
        <v>11</v>
      </c>
      <c r="D102" s="98"/>
      <c r="E102" s="98"/>
      <c r="F102" s="98"/>
      <c r="G102" s="98"/>
      <c r="H102" s="98"/>
      <c r="I102" s="98"/>
      <c r="J102" s="98"/>
      <c r="K102" s="98"/>
      <c r="L102" s="98"/>
      <c r="M102" s="98"/>
      <c r="O102" s="92">
        <v>2887140</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7</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6</v>
      </c>
      <c r="D120" s="54">
        <v>11</v>
      </c>
      <c r="E120" s="54">
        <v>6</v>
      </c>
      <c r="F120" s="55">
        <v>23</v>
      </c>
    </row>
    <row r="121" spans="1:15" ht="18" customHeight="1">
      <c r="A121" s="173" t="s">
        <v>191</v>
      </c>
      <c r="B121" s="33" t="s">
        <v>192</v>
      </c>
      <c r="C121" s="56">
        <v>26.639999389648438</v>
      </c>
      <c r="D121" s="56">
        <v>25.599091443148527</v>
      </c>
      <c r="E121" s="56">
        <v>26.196666717529297</v>
      </c>
      <c r="F121" s="57">
        <v>26.026521682739258</v>
      </c>
      <c r="G121" s="206"/>
      <c r="H121" s="206"/>
      <c r="I121" s="206"/>
      <c r="J121" s="206"/>
      <c r="K121" s="206"/>
      <c r="L121" s="206"/>
      <c r="M121" s="206"/>
      <c r="N121" s="206"/>
      <c r="O121" s="206"/>
    </row>
    <row r="122" spans="1:15" ht="18" customHeight="1">
      <c r="A122" s="174"/>
      <c r="B122" s="35" t="s">
        <v>184</v>
      </c>
      <c r="C122" s="58">
        <v>517.83331298828125</v>
      </c>
      <c r="D122" s="58">
        <v>513.81819568980825</v>
      </c>
      <c r="E122" s="58">
        <v>561.16668701171875</v>
      </c>
      <c r="F122" s="59">
        <v>527.2174072265625</v>
      </c>
      <c r="G122" s="206"/>
      <c r="H122" s="206"/>
      <c r="I122" s="206"/>
      <c r="J122" s="206"/>
      <c r="K122" s="206"/>
      <c r="L122" s="206"/>
      <c r="M122" s="206"/>
      <c r="N122" s="206"/>
      <c r="O122" s="206"/>
    </row>
    <row r="123" spans="1:15" ht="18" customHeight="1">
      <c r="A123" s="174"/>
      <c r="B123" s="35" t="s">
        <v>185</v>
      </c>
      <c r="C123" s="58">
        <v>296.66665649414063</v>
      </c>
      <c r="D123" s="58">
        <v>229.00000277432528</v>
      </c>
      <c r="E123" s="58">
        <v>226.83332824707031</v>
      </c>
      <c r="F123" s="59">
        <v>246.08695983886719</v>
      </c>
      <c r="G123" s="206"/>
      <c r="H123" s="206"/>
      <c r="I123" s="206"/>
      <c r="J123" s="206"/>
      <c r="K123" s="206"/>
      <c r="L123" s="206"/>
      <c r="M123" s="206"/>
      <c r="N123" s="206"/>
      <c r="O123" s="206"/>
    </row>
    <row r="124" spans="1:15" ht="18" customHeight="1">
      <c r="A124" s="174"/>
      <c r="B124" s="35" t="s">
        <v>186</v>
      </c>
      <c r="C124" s="58">
        <v>442.17526245117188</v>
      </c>
      <c r="D124" s="58">
        <v>424.28425181995738</v>
      </c>
      <c r="E124" s="58">
        <v>445.77859497070313</v>
      </c>
      <c r="F124" s="59">
        <v>434.55868530273438</v>
      </c>
      <c r="G124" s="206"/>
      <c r="H124" s="206"/>
      <c r="I124" s="206"/>
      <c r="J124" s="206"/>
      <c r="K124" s="206"/>
      <c r="L124" s="206"/>
      <c r="M124" s="206"/>
      <c r="N124" s="206"/>
      <c r="O124" s="206"/>
    </row>
    <row r="125" spans="1:15" ht="18" customHeight="1">
      <c r="A125" s="174"/>
      <c r="B125" s="35" t="s">
        <v>187</v>
      </c>
      <c r="C125" s="31">
        <v>1699.77978515625</v>
      </c>
      <c r="D125" s="31">
        <v>1021.0031849254261</v>
      </c>
      <c r="E125" s="31">
        <v>763.793701171875</v>
      </c>
      <c r="F125" s="60">
        <v>1130.9771728515625</v>
      </c>
      <c r="G125" s="206"/>
      <c r="H125" s="206"/>
      <c r="I125" s="206"/>
      <c r="J125" s="206"/>
      <c r="K125" s="206"/>
      <c r="L125" s="206"/>
      <c r="M125" s="206"/>
      <c r="N125" s="206"/>
      <c r="O125" s="206"/>
    </row>
    <row r="126" spans="1:15" ht="18" customHeight="1">
      <c r="A126" s="174"/>
      <c r="B126" s="35" t="s">
        <v>193</v>
      </c>
      <c r="C126" s="31">
        <f ca="1">3517.84875*OFFSET($L$112,MATCH($N$1,$C$112:$C$113,0)-1,0)</f>
        <v>3517.8487500000001</v>
      </c>
      <c r="D126" s="31">
        <f ca="1">1869.18088636364*OFFSET($L$112,MATCH($N$1,$C$112:$C$113,0)-1,0)</f>
        <v>1869.18088636364</v>
      </c>
      <c r="E126" s="31">
        <f ca="1">1455.075125*OFFSET($L$112,MATCH($N$1,$C$112:$C$113,0)-1,0)</f>
        <v>1455.0751250000001</v>
      </c>
      <c r="F126" s="60">
        <f ca="1">2191.2405*OFFSET($L$112,MATCH($N$1,$C$112:$C$113,0)-1,0)</f>
        <v>2191.2404999999999</v>
      </c>
      <c r="G126" s="206"/>
      <c r="H126" s="206"/>
      <c r="I126" s="206"/>
      <c r="J126" s="206"/>
      <c r="K126" s="206"/>
      <c r="L126" s="206"/>
      <c r="M126" s="206"/>
      <c r="N126" s="206"/>
      <c r="O126" s="206"/>
    </row>
    <row r="127" spans="1:15" ht="18" customHeight="1">
      <c r="A127" s="174"/>
      <c r="B127" s="35" t="s">
        <v>189</v>
      </c>
      <c r="C127" s="58">
        <v>292.16665649414063</v>
      </c>
      <c r="D127" s="58">
        <v>213.63635947487572</v>
      </c>
      <c r="E127" s="58">
        <v>196.16667175292969</v>
      </c>
      <c r="F127" s="59">
        <v>229.56521606445313</v>
      </c>
      <c r="G127" s="206"/>
      <c r="H127" s="206"/>
      <c r="I127" s="206"/>
      <c r="J127" s="206"/>
      <c r="K127" s="206"/>
      <c r="L127" s="206"/>
      <c r="M127" s="206"/>
      <c r="N127" s="206"/>
      <c r="O127" s="206"/>
    </row>
    <row r="128" spans="1:15" ht="18" customHeight="1">
      <c r="A128" s="174"/>
      <c r="B128" s="35" t="s">
        <v>194</v>
      </c>
      <c r="C128" s="58">
        <v>10.833333015441895</v>
      </c>
      <c r="D128" s="58">
        <v>28.272727272727273</v>
      </c>
      <c r="E128" s="58">
        <v>32</v>
      </c>
      <c r="F128" s="59">
        <v>24.695652008056641</v>
      </c>
      <c r="G128" s="206"/>
      <c r="H128" s="206"/>
      <c r="I128" s="206"/>
      <c r="J128" s="206"/>
      <c r="K128" s="206"/>
      <c r="L128" s="206"/>
      <c r="M128" s="206"/>
      <c r="N128" s="206"/>
      <c r="O128" s="206"/>
    </row>
    <row r="129" spans="1:15" ht="18" customHeight="1">
      <c r="A129" s="174"/>
      <c r="B129" s="35" t="s">
        <v>195</v>
      </c>
      <c r="C129" s="61">
        <v>5.817842960357666</v>
      </c>
      <c r="D129" s="61">
        <v>4.7791639374265742</v>
      </c>
      <c r="E129" s="61">
        <v>3.8935956954956055</v>
      </c>
      <c r="F129" s="62">
        <v>4.926605224609375</v>
      </c>
      <c r="G129" s="206"/>
      <c r="H129" s="206"/>
      <c r="I129" s="206"/>
      <c r="J129" s="206"/>
      <c r="K129" s="206"/>
      <c r="L129" s="206"/>
      <c r="M129" s="206"/>
      <c r="N129" s="206"/>
      <c r="O129" s="206"/>
    </row>
    <row r="130" spans="1:15" ht="18" customHeight="1">
      <c r="A130" s="175"/>
      <c r="B130" s="37" t="s">
        <v>196</v>
      </c>
      <c r="C130" s="38">
        <f ca="1">2069.59088507846*OFFSET($L$112,MATCH($N$1,$C$112:$C$113,0)-1,0)</f>
        <v>2069.5908850784599</v>
      </c>
      <c r="D130" s="38">
        <f ca="1">1830.72973126931*OFFSET($L$112,MATCH($N$1,$C$112:$C$113,0)-1,0)</f>
        <v>1830.7297312693099</v>
      </c>
      <c r="E130" s="38">
        <f ca="1">1905.06300689244*OFFSET($L$112,MATCH($N$1,$C$112:$C$113,0)-1,0)</f>
        <v>1905.0630068924399</v>
      </c>
      <c r="F130" s="63">
        <f ca="1">1937*OFFSET($L$112,MATCH($N$1,$C$112:$C$113,0)-1,0)</f>
        <v>1937</v>
      </c>
      <c r="G130" s="206"/>
      <c r="H130" s="206"/>
      <c r="I130" s="206"/>
      <c r="J130" s="206"/>
      <c r="K130" s="206"/>
      <c r="L130" s="206"/>
      <c r="M130" s="206"/>
      <c r="N130" s="206"/>
      <c r="O130" s="206"/>
    </row>
    <row r="131" spans="1:15" ht="18" customHeight="1">
      <c r="A131" s="184" t="s">
        <v>197</v>
      </c>
      <c r="B131" s="33" t="s">
        <v>198</v>
      </c>
      <c r="C131" s="64">
        <v>11.263259080755502</v>
      </c>
      <c r="D131" s="64">
        <v>9.1598918809729035</v>
      </c>
      <c r="E131" s="64">
        <v>6.9806294866596277</v>
      </c>
      <c r="F131" s="65">
        <v>9.3298584197246246</v>
      </c>
      <c r="G131" s="206"/>
      <c r="H131" s="206"/>
      <c r="I131" s="206"/>
      <c r="J131" s="206"/>
      <c r="K131" s="206"/>
      <c r="L131" s="206"/>
      <c r="M131" s="206"/>
      <c r="N131" s="206"/>
      <c r="O131" s="206"/>
    </row>
    <row r="132" spans="1:15" ht="18" customHeight="1">
      <c r="A132" s="185"/>
      <c r="B132" s="35" t="s">
        <v>199</v>
      </c>
      <c r="C132" s="61">
        <f ca="1">23.3103383298088*OFFSET($L$112,MATCH($N$1,$C$112:$C$113,0)-1,0)</f>
        <v>23.3103383298088</v>
      </c>
      <c r="D132" s="61">
        <f ca="1">16.7692864017095*OFFSET($L$112,MATCH($N$1,$C$112:$C$113,0)-1,0)</f>
        <v>16.7692864017095</v>
      </c>
      <c r="E132" s="61">
        <f ca="1">13.2985389998578*OFFSET($L$112,MATCH($N$1,$C$112:$C$113,0)-1,0)</f>
        <v>13.298538999857801</v>
      </c>
      <c r="F132" s="62">
        <f ca="1">18.0763715831865*OFFSET($L$112,MATCH($N$1,$C$112:$C$113,0)-1,0)</f>
        <v>18.0763715831865</v>
      </c>
      <c r="G132" s="206"/>
      <c r="H132" s="206"/>
      <c r="I132" s="206"/>
      <c r="J132" s="206"/>
      <c r="K132" s="206"/>
      <c r="L132" s="206"/>
      <c r="M132" s="206"/>
      <c r="N132" s="206"/>
      <c r="O132" s="206"/>
    </row>
    <row r="133" spans="1:15" ht="18" customHeight="1">
      <c r="A133" s="185"/>
      <c r="B133" s="35" t="s">
        <v>154</v>
      </c>
      <c r="C133" s="61">
        <f ca="1">19.9223322522448*OFFSET($L$112,MATCH($N$1,$C$112:$C$113,0)-1,0)</f>
        <v>19.9223322522448</v>
      </c>
      <c r="D133" s="61">
        <f ca="1">14.7150906117722*OFFSET($L$112,MATCH($N$1,$C$112:$C$113,0)-1,0)</f>
        <v>14.715090611772199</v>
      </c>
      <c r="E133" s="61">
        <f ca="1">12.1538713751232*OFFSET($L$112,MATCH($N$1,$C$112:$C$113,0)-1,0)</f>
        <v>12.153871375123201</v>
      </c>
      <c r="F133" s="62">
        <f ca="1">15.803158493563*OFFSET($L$112,MATCH($N$1,$C$112:$C$113,0)-1,0)</f>
        <v>15.803158493563</v>
      </c>
      <c r="G133" s="206"/>
      <c r="H133" s="206"/>
      <c r="I133" s="206"/>
      <c r="J133" s="206"/>
      <c r="K133" s="206"/>
      <c r="L133" s="206"/>
      <c r="M133" s="206"/>
      <c r="N133" s="206"/>
      <c r="O133" s="206"/>
    </row>
    <row r="134" spans="1:15" ht="18" customHeight="1">
      <c r="A134" s="186"/>
      <c r="B134" s="37" t="s">
        <v>155</v>
      </c>
      <c r="C134" s="66">
        <f ca="1">3.388006077564*OFFSET($L$112,MATCH($N$1,$C$112:$C$113,0)-1,0)</f>
        <v>3.388006077564</v>
      </c>
      <c r="D134" s="66">
        <f ca="1">2.05419578993728*OFFSET($L$112,MATCH($N$1,$C$112:$C$113,0)-1,0)</f>
        <v>2.05419578993728</v>
      </c>
      <c r="E134" s="66">
        <f ca="1">1.14466762473466*OFFSET($L$112,MATCH($N$1,$C$112:$C$113,0)-1,0)</f>
        <v>1.1446676247346601</v>
      </c>
      <c r="F134" s="67">
        <f ca="1">2.2732130896235*OFFSET($L$112,MATCH($N$1,$C$112:$C$113,0)-1,0)</f>
        <v>2.2732130896234999</v>
      </c>
      <c r="G134" s="206"/>
      <c r="H134" s="206"/>
      <c r="I134" s="206"/>
      <c r="J134" s="206"/>
      <c r="K134" s="206"/>
      <c r="L134" s="206"/>
      <c r="M134" s="206"/>
      <c r="N134" s="206"/>
      <c r="O134" s="206"/>
    </row>
    <row r="135" spans="1:15" ht="18" customHeight="1">
      <c r="A135" s="187" t="s">
        <v>254</v>
      </c>
      <c r="B135" s="35" t="s">
        <v>255</v>
      </c>
      <c r="C135" s="68">
        <f ca="1">227.733171875*OFFSET($L$112,MATCH($N$1,$C$112:$C$113,0)-1,0)</f>
        <v>227.73317187500001</v>
      </c>
      <c r="D135" s="68">
        <f ca="1">163.707393465909*OFFSET($L$112,MATCH($N$1,$C$112:$C$113,0)-1,0)</f>
        <v>163.70739346590901</v>
      </c>
      <c r="E135" s="68">
        <f ca="1">180.43703125*OFFSET($L$112,MATCH($N$1,$C$112:$C$113,0)-1,0)</f>
        <v>180.43703124999999</v>
      </c>
      <c r="F135" s="69">
        <f ca="1">184.774015625*OFFSET($L$112,MATCH($N$1,$C$112:$C$113,0)-1,0)</f>
        <v>184.774015625</v>
      </c>
      <c r="G135" s="206"/>
      <c r="H135" s="206"/>
      <c r="I135" s="206"/>
      <c r="J135" s="206"/>
      <c r="K135" s="206"/>
      <c r="L135" s="206"/>
      <c r="M135" s="206"/>
      <c r="N135" s="206"/>
      <c r="O135" s="206"/>
    </row>
    <row r="136" spans="1:15" ht="18" customHeight="1">
      <c r="A136" s="188"/>
      <c r="B136" s="35" t="s">
        <v>256</v>
      </c>
      <c r="C136" s="30">
        <v>433224.98216958717</v>
      </c>
      <c r="D136" s="30">
        <v>311604.54743680748</v>
      </c>
      <c r="E136" s="30">
        <v>343291.67556762695</v>
      </c>
      <c r="F136" s="70">
        <v>351597.82608695654</v>
      </c>
      <c r="G136" s="206"/>
      <c r="H136" s="206"/>
      <c r="I136" s="206"/>
      <c r="J136" s="206"/>
      <c r="K136" s="206"/>
      <c r="L136" s="206"/>
      <c r="M136" s="206"/>
      <c r="N136" s="206"/>
      <c r="O136" s="206"/>
    </row>
    <row r="137" spans="1:15" ht="18" customHeight="1">
      <c r="A137" s="188"/>
      <c r="B137" s="35" t="s">
        <v>257</v>
      </c>
      <c r="C137" s="30">
        <v>1482.8009033203125</v>
      </c>
      <c r="D137" s="30">
        <v>1458.5745057757977</v>
      </c>
      <c r="E137" s="30">
        <v>1750</v>
      </c>
      <c r="F137" s="70">
        <v>1531.5814208984375</v>
      </c>
      <c r="G137" s="206"/>
      <c r="H137" s="206"/>
      <c r="I137" s="206"/>
      <c r="J137" s="206"/>
      <c r="K137" s="206"/>
      <c r="L137" s="206"/>
      <c r="M137" s="206"/>
      <c r="N137" s="206"/>
      <c r="O137" s="206"/>
    </row>
    <row r="138" spans="1:15" ht="18" customHeight="1">
      <c r="A138" s="188"/>
      <c r="B138" s="35" t="s">
        <v>258</v>
      </c>
      <c r="C138" s="30">
        <f ca="1">779.463250898267*OFFSET($L$112,MATCH($N$1,$C$112:$C$113,0)-1,0)</f>
        <v>779.46325089826701</v>
      </c>
      <c r="D138" s="30">
        <f ca="1">766.289941788498*OFFSET($L$112,MATCH($N$1,$C$112:$C$113,0)-1,0)</f>
        <v>766.28994178849803</v>
      </c>
      <c r="E138" s="30">
        <f ca="1">919.814918801594*OFFSET($L$112,MATCH($N$1,$C$112:$C$113,0)-1,0)</f>
        <v>919.81491880159399</v>
      </c>
      <c r="F138" s="70">
        <f ca="1">804.88681513981*OFFSET($L$112,MATCH($N$1,$C$112:$C$113,0)-1,0)</f>
        <v>804.88681513980998</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133.978044605387*OFFSET($L$112,MATCH($N$1,$C$112:$C$113,0)-1,0)</f>
        <v>133.978044605387</v>
      </c>
      <c r="D139" s="30">
        <f ca="1">160.339748085963*OFFSET($L$112,MATCH($N$1,$C$112:$C$113,0)-1,0)</f>
        <v>160.33974808596301</v>
      </c>
      <c r="E139" s="30">
        <f ca="1">236.237914731633*OFFSET($L$112,MATCH($N$1,$C$112:$C$113,0)-1,0)</f>
        <v>236.237914731633</v>
      </c>
      <c r="F139" s="70">
        <f ca="1">163.375548207683*OFFSET($L$112,MATCH($N$1,$C$112:$C$113,0)-1,0)</f>
        <v>163.37554820768301</v>
      </c>
      <c r="G139" s="206"/>
      <c r="H139" s="206"/>
      <c r="I139" s="46"/>
      <c r="J139" s="206"/>
      <c r="K139" s="71" t="s">
        <v>260</v>
      </c>
      <c r="L139" s="72">
        <f t="shared" ref="L139:M141" ca="1" si="2">C140</f>
        <v>3528.5455000000002</v>
      </c>
      <c r="M139" s="72">
        <f t="shared" ca="1" si="2"/>
        <v>1874.8643295454499</v>
      </c>
      <c r="N139" s="72">
        <f ca="1">E140</f>
        <v>1459.4994999999999</v>
      </c>
      <c r="O139" s="72"/>
    </row>
    <row r="140" spans="1:15" ht="18" customHeight="1">
      <c r="A140" s="166" t="s">
        <v>261</v>
      </c>
      <c r="B140" s="33" t="s">
        <v>262</v>
      </c>
      <c r="C140" s="73">
        <f ca="1">3528.5455*OFFSET($L$112,MATCH($N$1,$C$112:$C$113,0)-1,0)</f>
        <v>3528.5455000000002</v>
      </c>
      <c r="D140" s="73">
        <f ca="1">1874.86432954545*OFFSET($L$112,MATCH($N$1,$C$112:$C$113,0)-1,0)</f>
        <v>1874.8643295454499</v>
      </c>
      <c r="E140" s="73">
        <f ca="1">1459.4995*OFFSET($L$112,MATCH($N$1,$C$112:$C$113,0)-1,0)</f>
        <v>1459.4994999999999</v>
      </c>
      <c r="F140" s="74">
        <f ca="1">2197.90325*OFFSET($L$112,MATCH($N$1,$C$112:$C$113,0)-1,0)</f>
        <v>2197.9032499999998</v>
      </c>
      <c r="G140" s="206"/>
      <c r="H140" s="206"/>
      <c r="I140" s="46"/>
      <c r="J140" s="206"/>
      <c r="K140" s="71" t="s">
        <v>263</v>
      </c>
      <c r="L140" s="72">
        <f t="shared" ca="1" si="2"/>
        <v>3017.2489999999998</v>
      </c>
      <c r="M140" s="72">
        <f t="shared" ca="1" si="2"/>
        <v>1645.8943295454501</v>
      </c>
      <c r="N140" s="72">
        <f ca="1">E141</f>
        <v>1334.254375</v>
      </c>
      <c r="O140" s="72"/>
    </row>
    <row r="141" spans="1:15" ht="18" customHeight="1">
      <c r="A141" s="167"/>
      <c r="B141" s="35" t="s">
        <v>264</v>
      </c>
      <c r="C141" s="30">
        <f ca="1">3017.249*OFFSET($L$112,MATCH($N$1,$C$112:$C$113,0)-1,0)</f>
        <v>3017.2489999999998</v>
      </c>
      <c r="D141" s="30">
        <f ca="1">1645.89432954545*OFFSET($L$112,MATCH($N$1,$C$112:$C$113,0)-1,0)</f>
        <v>1645.8943295454501</v>
      </c>
      <c r="E141" s="30">
        <f ca="1">1334.254375*OFFSET($L$112,MATCH($N$1,$C$112:$C$113,0)-1,0)</f>
        <v>1334.254375</v>
      </c>
      <c r="F141" s="70">
        <f ca="1">1922.341625*OFFSET($L$112,MATCH($N$1,$C$112:$C$113,0)-1,0)</f>
        <v>1922.341625</v>
      </c>
      <c r="G141" s="206"/>
      <c r="H141" s="206"/>
      <c r="I141" s="46"/>
      <c r="J141" s="206"/>
      <c r="K141" s="71" t="s">
        <v>265</v>
      </c>
      <c r="L141" s="72">
        <f t="shared" ca="1" si="2"/>
        <v>511.29649999999998</v>
      </c>
      <c r="M141" s="72">
        <f t="shared" ca="1" si="2"/>
        <v>228.97</v>
      </c>
      <c r="N141" s="72">
        <f ca="1">E142</f>
        <v>125.245125</v>
      </c>
      <c r="O141" s="72"/>
    </row>
    <row r="142" spans="1:15" ht="18" customHeight="1">
      <c r="A142" s="168"/>
      <c r="B142" s="37" t="s">
        <v>266</v>
      </c>
      <c r="C142" s="38">
        <f ca="1">511.2965*OFFSET($L$112,MATCH($N$1,$C$112:$C$113,0)-1,0)</f>
        <v>511.29649999999998</v>
      </c>
      <c r="D142" s="38">
        <f ca="1">228.97*OFFSET($L$112,MATCH($N$1,$C$112:$C$113,0)-1,0)</f>
        <v>228.97</v>
      </c>
      <c r="E142" s="38">
        <f ca="1">125.245125*OFFSET($L$112,MATCH($N$1,$C$112:$C$113,0)-1,0)</f>
        <v>125.245125</v>
      </c>
      <c r="F142" s="63">
        <f ca="1">275.56175*OFFSET($L$112,MATCH($N$1,$C$112:$C$113,0)-1,0)</f>
        <v>275.56175000000002</v>
      </c>
      <c r="G142" s="206"/>
      <c r="H142" s="206"/>
      <c r="I142" s="46"/>
      <c r="J142" s="206"/>
      <c r="K142" s="71" t="s">
        <v>267</v>
      </c>
      <c r="L142" s="75">
        <f ca="1">IFERROR(L140/L$139,"")</f>
        <v>0.85509709312236437</v>
      </c>
      <c r="M142" s="75">
        <f t="shared" ref="M142:N143" ca="1" si="3">IFERROR(M140/M$139,"")</f>
        <v>0.8778738299130624</v>
      </c>
      <c r="N142" s="75">
        <f t="shared" ca="1" si="3"/>
        <v>0.91418625014945198</v>
      </c>
      <c r="O142" s="75"/>
    </row>
    <row r="143" spans="1:15" ht="18" customHeight="1">
      <c r="A143" s="206"/>
      <c r="B143" s="206"/>
      <c r="C143" s="206"/>
      <c r="D143" s="206"/>
      <c r="E143" s="206"/>
      <c r="F143" s="206"/>
      <c r="G143" s="206"/>
      <c r="H143" s="206"/>
      <c r="I143" s="46"/>
      <c r="J143" s="206"/>
      <c r="K143" s="71" t="s">
        <v>268</v>
      </c>
      <c r="L143" s="75">
        <f ca="1">IFERROR(L141/L$139,"")</f>
        <v>0.14490290687763555</v>
      </c>
      <c r="M143" s="75">
        <f t="shared" ca="1" si="3"/>
        <v>0.12212617008693769</v>
      </c>
      <c r="N143" s="75">
        <f t="shared" ca="1" si="3"/>
        <v>8.5813749850548085E-2</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7</v>
      </c>
      <c r="B161" s="51"/>
      <c r="C161" s="76" t="s">
        <v>249</v>
      </c>
      <c r="D161" s="76" t="s">
        <v>270</v>
      </c>
      <c r="E161" s="76" t="s">
        <v>251</v>
      </c>
      <c r="F161" s="76" t="s">
        <v>271</v>
      </c>
      <c r="G161" s="77">
        <v>7</v>
      </c>
      <c r="H161" s="76"/>
      <c r="I161" s="76" t="s">
        <v>249</v>
      </c>
      <c r="J161" s="76" t="s">
        <v>270</v>
      </c>
      <c r="K161" s="76" t="s">
        <v>251</v>
      </c>
      <c r="L161" s="51" t="s">
        <v>271</v>
      </c>
      <c r="R161" s="206"/>
      <c r="S161" s="206"/>
    </row>
    <row r="162" spans="1:19" s="46" customFormat="1">
      <c r="A162" s="47">
        <v>1</v>
      </c>
      <c r="B162" s="51" t="s">
        <v>157</v>
      </c>
      <c r="C162" s="51">
        <v>0.27203453514917059</v>
      </c>
      <c r="D162" s="51">
        <v>0.3756664101215737</v>
      </c>
      <c r="E162" s="51">
        <v>0.3743833704277994</v>
      </c>
      <c r="F162" s="47">
        <v>12153634</v>
      </c>
      <c r="G162" s="47">
        <v>1</v>
      </c>
      <c r="H162" s="51" t="s">
        <v>157</v>
      </c>
      <c r="I162" s="51">
        <v>0.23508114244402481</v>
      </c>
      <c r="J162" s="51">
        <v>0.31945748842390231</v>
      </c>
      <c r="K162" s="51">
        <v>0.32785249088241464</v>
      </c>
      <c r="L162" s="47">
        <v>12153634</v>
      </c>
      <c r="R162" s="206"/>
      <c r="S162" s="206"/>
    </row>
    <row r="163" spans="1:19" s="46" customFormat="1">
      <c r="A163" s="47">
        <v>2</v>
      </c>
      <c r="B163" s="51" t="s">
        <v>345</v>
      </c>
      <c r="C163" s="51">
        <v>0.22899410031955925</v>
      </c>
      <c r="D163" s="51">
        <v>0.17010792974519823</v>
      </c>
      <c r="E163" s="51">
        <v>0.12154382980464433</v>
      </c>
      <c r="F163" s="47">
        <v>3689192</v>
      </c>
      <c r="G163" s="47">
        <v>2</v>
      </c>
      <c r="H163" s="51" t="s">
        <v>241</v>
      </c>
      <c r="I163" s="51">
        <v>0.23886537462428387</v>
      </c>
      <c r="J163" s="51">
        <v>0.27253842795575922</v>
      </c>
      <c r="K163" s="51">
        <v>0.25431835423148341</v>
      </c>
      <c r="L163" s="47">
        <v>553960</v>
      </c>
      <c r="N163" s="46" t="s">
        <v>272</v>
      </c>
      <c r="R163" s="206"/>
      <c r="S163" s="206"/>
    </row>
    <row r="164" spans="1:19" s="46" customFormat="1">
      <c r="A164" s="47">
        <v>3</v>
      </c>
      <c r="B164" s="51" t="s">
        <v>241</v>
      </c>
      <c r="C164" s="51">
        <v>0.1616389325286948</v>
      </c>
      <c r="D164" s="51">
        <v>0.16688451190979908</v>
      </c>
      <c r="E164" s="51">
        <v>0.1624540767526749</v>
      </c>
      <c r="F164" s="47">
        <v>553960</v>
      </c>
      <c r="G164" s="47">
        <v>3</v>
      </c>
      <c r="H164" s="51" t="s">
        <v>329</v>
      </c>
      <c r="I164" s="51">
        <v>9.2393562605441626E-2</v>
      </c>
      <c r="J164" s="51">
        <v>0.12140121566477287</v>
      </c>
      <c r="K164" s="51">
        <v>0.13914707245853239</v>
      </c>
      <c r="L164" s="47">
        <v>1692097</v>
      </c>
      <c r="N164" s="46" t="s">
        <v>273</v>
      </c>
      <c r="R164" s="206"/>
      <c r="S164" s="206"/>
    </row>
    <row r="165" spans="1:19" s="46" customFormat="1">
      <c r="A165" s="47">
        <v>4</v>
      </c>
      <c r="B165" s="51" t="s">
        <v>329</v>
      </c>
      <c r="C165" s="51">
        <v>0.11882289678877099</v>
      </c>
      <c r="D165" s="51">
        <v>0.15504639177543841</v>
      </c>
      <c r="E165" s="51">
        <v>0.18501372383369788</v>
      </c>
      <c r="F165" s="47">
        <v>1692097</v>
      </c>
      <c r="G165" s="47">
        <v>4</v>
      </c>
      <c r="H165" s="51" t="s">
        <v>165</v>
      </c>
      <c r="I165" s="51">
        <v>0.20209972274955926</v>
      </c>
      <c r="J165" s="51">
        <v>0.10594288774490909</v>
      </c>
      <c r="K165" s="51">
        <v>7.8450827210816185E-2</v>
      </c>
      <c r="L165" s="47">
        <v>3050596</v>
      </c>
      <c r="R165" s="206"/>
      <c r="S165" s="206"/>
    </row>
    <row r="166" spans="1:19" s="46" customFormat="1">
      <c r="A166" s="47">
        <v>5</v>
      </c>
      <c r="B166" s="51" t="s">
        <v>165</v>
      </c>
      <c r="C166" s="51">
        <v>0.14800416232303376</v>
      </c>
      <c r="D166" s="51">
        <v>8.0661628412185937E-2</v>
      </c>
      <c r="E166" s="51">
        <v>6.7758565422800732E-2</v>
      </c>
      <c r="F166" s="47">
        <v>3050596</v>
      </c>
      <c r="G166" s="47">
        <v>5</v>
      </c>
      <c r="H166" s="51" t="s">
        <v>345</v>
      </c>
      <c r="I166" s="51">
        <v>0.12979914622078054</v>
      </c>
      <c r="J166" s="51">
        <v>0.10540155641287043</v>
      </c>
      <c r="K166" s="51">
        <v>7.0202693141262387E-2</v>
      </c>
      <c r="L166" s="47">
        <v>3689192</v>
      </c>
      <c r="R166" s="206"/>
      <c r="S166" s="206"/>
    </row>
    <row r="167" spans="1:19" s="46" customFormat="1">
      <c r="A167" s="47">
        <v>6</v>
      </c>
      <c r="B167" s="51" t="s">
        <v>245</v>
      </c>
      <c r="C167" s="51">
        <v>7.0505372890770523E-2</v>
      </c>
      <c r="D167" s="51">
        <v>5.1633128035804554E-2</v>
      </c>
      <c r="E167" s="51">
        <v>8.8846433758382748E-2</v>
      </c>
      <c r="F167" s="47">
        <v>5920853</v>
      </c>
      <c r="G167" s="47">
        <v>6</v>
      </c>
      <c r="H167" s="51" t="s">
        <v>245</v>
      </c>
      <c r="I167" s="51">
        <v>0.10176105135590985</v>
      </c>
      <c r="J167" s="51">
        <v>7.5258423797786023E-2</v>
      </c>
      <c r="K167" s="51">
        <v>0.13002856207549096</v>
      </c>
      <c r="L167" s="47">
        <v>5920853</v>
      </c>
      <c r="R167" s="206"/>
      <c r="S167" s="206"/>
    </row>
    <row r="168" spans="1:19" s="46" customFormat="1">
      <c r="A168" s="47">
        <v>7</v>
      </c>
      <c r="B168" s="51"/>
      <c r="C168" s="51">
        <v>0</v>
      </c>
      <c r="D168" s="51">
        <v>0</v>
      </c>
      <c r="E168" s="51">
        <v>0</v>
      </c>
      <c r="F168" s="47"/>
      <c r="G168" s="47">
        <v>7</v>
      </c>
      <c r="H168" s="51"/>
      <c r="I168" s="51">
        <v>0</v>
      </c>
      <c r="J168" s="51">
        <v>0</v>
      </c>
      <c r="K168" s="51">
        <v>0</v>
      </c>
      <c r="L168" s="47"/>
      <c r="R168" s="206"/>
      <c r="S168" s="206"/>
    </row>
    <row r="169" spans="1:19" s="46" customFormat="1">
      <c r="A169" s="47">
        <v>8</v>
      </c>
      <c r="B169" s="51"/>
      <c r="C169" s="51">
        <v>0</v>
      </c>
      <c r="D169" s="51">
        <v>0</v>
      </c>
      <c r="E169" s="51">
        <v>0</v>
      </c>
      <c r="F169" s="47"/>
      <c r="G169" s="47">
        <v>8</v>
      </c>
      <c r="H169" s="51"/>
      <c r="I169" s="51">
        <v>0</v>
      </c>
      <c r="J169" s="51">
        <v>0</v>
      </c>
      <c r="K169" s="51">
        <v>0</v>
      </c>
      <c r="L169" s="47"/>
      <c r="R169" s="206"/>
      <c r="S169" s="206"/>
    </row>
    <row r="170" spans="1:19" s="46" customFormat="1">
      <c r="A170" s="47">
        <v>9</v>
      </c>
      <c r="B170" s="51"/>
      <c r="C170" s="51">
        <v>0</v>
      </c>
      <c r="D170" s="51">
        <v>0</v>
      </c>
      <c r="E170" s="51">
        <v>0</v>
      </c>
      <c r="F170" s="47"/>
      <c r="G170" s="47">
        <v>9</v>
      </c>
      <c r="H170" s="51"/>
      <c r="I170" s="51">
        <v>0</v>
      </c>
      <c r="J170" s="51">
        <v>0</v>
      </c>
      <c r="K170" s="51">
        <v>0</v>
      </c>
      <c r="L170" s="47"/>
      <c r="R170" s="206"/>
      <c r="S170" s="206"/>
    </row>
    <row r="171" spans="1:19" s="46" customFormat="1">
      <c r="A171" s="47">
        <v>10</v>
      </c>
      <c r="B171" s="51"/>
      <c r="C171" s="51">
        <v>0</v>
      </c>
      <c r="D171" s="51">
        <v>0</v>
      </c>
      <c r="E171" s="51">
        <v>0</v>
      </c>
      <c r="F171" s="47"/>
      <c r="G171" s="47">
        <v>10</v>
      </c>
      <c r="H171" s="51"/>
      <c r="I171" s="51">
        <v>0</v>
      </c>
      <c r="J171" s="51">
        <v>0</v>
      </c>
      <c r="K171" s="51">
        <v>0</v>
      </c>
      <c r="L171" s="47"/>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AB3A5CAA-7030-4B83-90A6-82E51072B2FF}">
      <formula1>$C$112:$C$113</formula1>
    </dataValidation>
  </dataValidations>
  <hyperlinks>
    <hyperlink ref="O1:P1" location="Home_page" display="Back to home page" xr:uid="{57F29697-6D39-43DF-9D16-9E87C7AAF342}"/>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78ACC368-0092-4CEA-8A28-23CE8925DC1C}">
          <x14:colorSeries rgb="FF323232"/>
          <x14:colorNegative rgb="FFD00000"/>
          <x14:colorAxis rgb="FF000000"/>
          <x14:colorMarkers rgb="FFD00000"/>
          <x14:colorFirst rgb="FFD00000"/>
          <x14:colorLast rgb="FFD00000"/>
          <x14:colorHigh rgb="FFD00000"/>
          <x14:colorLow rgb="FFD00000"/>
          <x14:sparklines>
            <x14:sparkline>
              <xm:f>'NSWOS dem pair trawl seine'!D3:N3</xm:f>
              <xm:sqref>C3</xm:sqref>
            </x14:sparkline>
            <x14:sparkline>
              <xm:f>'NSWOS dem pair trawl seine'!D4:N4</xm:f>
              <xm:sqref>C4</xm:sqref>
            </x14:sparkline>
            <x14:sparkline>
              <xm:f>'NSWOS dem pair trawl seine'!D5:N5</xm:f>
              <xm:sqref>C5</xm:sqref>
            </x14:sparkline>
            <x14:sparkline>
              <xm:f>'NSWOS dem pair trawl seine'!D6:N6</xm:f>
              <xm:sqref>C6</xm:sqref>
            </x14:sparkline>
            <x14:sparkline>
              <xm:f>'NSWOS dem pair trawl seine'!D7:N7</xm:f>
              <xm:sqref>C7</xm:sqref>
            </x14:sparkline>
            <x14:sparkline>
              <xm:f>'NSWOS dem pair trawl seine'!D8:N8</xm:f>
              <xm:sqref>C8</xm:sqref>
            </x14:sparkline>
            <x14:sparkline>
              <xm:f>'NSWOS dem pair trawl seine'!D9:N9</xm:f>
              <xm:sqref>C9</xm:sqref>
            </x14:sparkline>
            <x14:sparkline>
              <xm:f>'NSWOS dem pair trawl seine'!D10:N10</xm:f>
              <xm:sqref>C10</xm:sqref>
            </x14:sparkline>
            <x14:sparkline>
              <xm:f>'NSWOS dem pair trawl seine'!D11:N11</xm:f>
              <xm:sqref>C11</xm:sqref>
            </x14:sparkline>
            <x14:sparkline>
              <xm:f>'NSWOS dem pair trawl seine'!D12:N12</xm:f>
              <xm:sqref>C12</xm:sqref>
            </x14:sparkline>
            <x14:sparkline>
              <xm:f>'NSWOS dem pair trawl seine'!D13:N13</xm:f>
              <xm:sqref>C13</xm:sqref>
            </x14:sparkline>
            <x14:sparkline>
              <xm:f>'NSWOS dem pair trawl seine'!D14:N14</xm:f>
              <xm:sqref>C14</xm:sqref>
            </x14:sparkline>
            <x14:sparkline>
              <xm:f>'NSWOS dem pair trawl seine'!D15:N15</xm:f>
              <xm:sqref>C15</xm:sqref>
            </x14:sparkline>
            <x14:sparkline>
              <xm:f>'NSWOS dem pair trawl seine'!D16:N16</xm:f>
              <xm:sqref>C16</xm:sqref>
            </x14:sparkline>
            <x14:sparkline>
              <xm:f>'NSWOS dem pair trawl seine'!D17:N17</xm:f>
              <xm:sqref>C17</xm:sqref>
            </x14:sparkline>
            <x14:sparkline>
              <xm:f>'NSWOS dem pair trawl seine'!D18:N18</xm:f>
              <xm:sqref>C18</xm:sqref>
            </x14:sparkline>
            <x14:sparkline>
              <xm:f>'NSWOS dem pair trawl seine'!D19:N19</xm:f>
              <xm:sqref>C19</xm:sqref>
            </x14:sparkline>
            <x14:sparkline>
              <xm:f>'NSWOS dem pair trawl seine'!D20:N20</xm:f>
              <xm:sqref>C20</xm:sqref>
            </x14:sparkline>
            <x14:sparkline>
              <xm:f>'NSWOS dem pair trawl seine'!D21:N21</xm:f>
              <xm:sqref>C21</xm:sqref>
            </x14:sparkline>
            <x14:sparkline>
              <xm:f>'NSWOS dem pair trawl seine'!D22:N22</xm:f>
              <xm:sqref>C22</xm:sqref>
            </x14:sparkline>
            <x14:sparkline>
              <xm:f>'NSWOS dem pair trawl seine'!D23:N23</xm:f>
              <xm:sqref>C23</xm:sqref>
            </x14:sparkline>
            <x14:sparkline>
              <xm:f>'NSWOS dem pair trawl seine'!D24:N24</xm:f>
              <xm:sqref>C24</xm:sqref>
            </x14:sparkline>
            <x14:sparkline>
              <xm:f>'NSWOS dem pair trawl seine'!D25:N25</xm:f>
              <xm:sqref>C25</xm:sqref>
            </x14:sparkline>
            <x14:sparkline>
              <xm:f>'NSWOS dem pair trawl seine'!D26:N26</xm:f>
              <xm:sqref>C26</xm:sqref>
            </x14:sparkline>
            <x14:sparkline>
              <xm:f>'NSWOS dem pair trawl seine'!D27:N27</xm:f>
              <xm:sqref>C27</xm:sqref>
            </x14:sparkline>
            <x14:sparkline>
              <xm:f>'NSWOS dem pair trawl seine'!D28:N28</xm:f>
              <xm:sqref>C28</xm:sqref>
            </x14:sparkline>
            <x14:sparkline>
              <xm:f>'NSWOS dem pair trawl seine'!D29:N29</xm:f>
              <xm:sqref>C29</xm:sqref>
            </x14:sparkline>
            <x14:sparkline>
              <xm:f>'NSWOS dem pair trawl seine'!D30:N30</xm:f>
              <xm:sqref>C30</xm:sqref>
            </x14:sparkline>
            <x14:sparkline>
              <xm:f>'NSWOS dem pair trawl seine'!D31:N31</xm:f>
              <xm:sqref>C31</xm:sqref>
            </x14:sparkline>
            <x14:sparkline>
              <xm:f>'NSWOS dem pair trawl seine'!D32:N32</xm:f>
              <xm:sqref>C32</xm:sqref>
            </x14:sparkline>
            <x14:sparkline>
              <xm:f>'NSWOS dem pair trawl seine'!D33:N33</xm:f>
              <xm:sqref>C33</xm:sqref>
            </x14:sparkline>
            <x14:sparkline>
              <xm:f>'NSWOS dem pair trawl seine'!D34:N34</xm:f>
              <xm:sqref>C34</xm:sqref>
            </x14:sparkline>
            <x14:sparkline>
              <xm:f>'NSWOS dem pair trawl seine'!D35:N35</xm:f>
              <xm:sqref>C35</xm:sqref>
            </x14:sparkline>
            <x14:sparkline>
              <xm:f>'NSWOS dem pair trawl seine'!D36:N36</xm:f>
              <xm:sqref>C36</xm:sqref>
            </x14:sparkline>
            <x14:sparkline>
              <xm:f>'NSWOS dem pair trawl seine'!D37:N37</xm:f>
              <xm:sqref>C37</xm:sqref>
            </x14:sparkline>
            <x14:sparkline>
              <xm:f>'NSWOS dem pair trawl seine'!D38:N38</xm:f>
              <xm:sqref>C38</xm:sqref>
            </x14:sparkline>
            <x14:sparkline>
              <xm:f>'NSWOS dem pair trawl seine'!D39:N39</xm:f>
              <xm:sqref>C39</xm:sqref>
            </x14:sparkline>
            <x14:sparkline>
              <xm:f>'NSWOS dem pair trawl seine'!D40:N40</xm:f>
              <xm:sqref>C40</xm:sqref>
            </x14:sparkline>
            <x14:sparkline>
              <xm:f>'NSWOS dem pair trawl seine'!D41:N41</xm:f>
              <xm:sqref>C41</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9A23B-89F4-4722-BB82-5BBB295C5842}">
  <sheetPr codeName="Feuil23">
    <pageSetUpPr fitToPage="1"/>
  </sheetPr>
  <dimension ref="A1:S192"/>
  <sheetViews>
    <sheetView topLeftCell="A46"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26</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20</v>
      </c>
      <c r="E3" s="27">
        <v>17</v>
      </c>
      <c r="F3" s="27">
        <v>13</v>
      </c>
      <c r="G3" s="27">
        <v>17</v>
      </c>
      <c r="H3" s="27">
        <v>19</v>
      </c>
      <c r="I3" s="27">
        <v>16</v>
      </c>
      <c r="J3" s="27">
        <v>16</v>
      </c>
      <c r="K3" s="27">
        <v>17</v>
      </c>
      <c r="L3" s="27">
        <v>15</v>
      </c>
      <c r="M3" s="27">
        <v>14</v>
      </c>
      <c r="N3" s="27">
        <v>21</v>
      </c>
      <c r="O3" s="28">
        <f t="shared" ref="O3:O41" si="0">IF(N3=0,"",IFERROR(IF(AND(N3&gt;0,D3&lt;0),"na",IF(AND(N3&lt;0,D3&lt;0),-1,1)*(N3-D3)/D3),""))</f>
        <v>0.05</v>
      </c>
      <c r="P3" s="28">
        <f t="shared" ref="P3:P41" si="1">IF(N3=0,"",IFERROR(IF(AND(N3&gt;0,J3&lt;0),"na",IF(AND(N3&lt;0,J3&lt;0),-1,1)*(N3-J3)/J3),""))</f>
        <v>0.3125</v>
      </c>
      <c r="Q3" s="206"/>
    </row>
    <row r="4" spans="1:17" ht="18" customHeight="1">
      <c r="A4" s="172"/>
      <c r="B4" s="29" t="s">
        <v>184</v>
      </c>
      <c r="C4" s="30"/>
      <c r="D4" s="30">
        <v>8007</v>
      </c>
      <c r="E4" s="30">
        <v>7483</v>
      </c>
      <c r="F4" s="30">
        <v>5660</v>
      </c>
      <c r="G4" s="30">
        <v>8300</v>
      </c>
      <c r="H4" s="30">
        <v>8728</v>
      </c>
      <c r="I4" s="30">
        <v>7522</v>
      </c>
      <c r="J4" s="30">
        <v>7090</v>
      </c>
      <c r="K4" s="30">
        <v>9328</v>
      </c>
      <c r="L4" s="30">
        <v>7443</v>
      </c>
      <c r="M4" s="30">
        <v>8351</v>
      </c>
      <c r="N4" s="30">
        <v>14721</v>
      </c>
      <c r="O4" s="28">
        <f t="shared" si="0"/>
        <v>0.83851629823904084</v>
      </c>
      <c r="P4" s="28">
        <f t="shared" si="1"/>
        <v>1.0763046544428774</v>
      </c>
      <c r="Q4" s="206"/>
    </row>
    <row r="5" spans="1:17" ht="18" customHeight="1">
      <c r="A5" s="172"/>
      <c r="B5" s="29" t="s">
        <v>185</v>
      </c>
      <c r="C5" s="30"/>
      <c r="D5" s="30">
        <v>3061</v>
      </c>
      <c r="E5" s="30">
        <v>3028</v>
      </c>
      <c r="F5" s="30">
        <v>2273</v>
      </c>
      <c r="G5" s="30">
        <v>3582</v>
      </c>
      <c r="H5" s="30">
        <v>3752</v>
      </c>
      <c r="I5" s="30">
        <v>3090</v>
      </c>
      <c r="J5" s="30">
        <v>3114</v>
      </c>
      <c r="K5" s="30">
        <v>3881</v>
      </c>
      <c r="L5" s="30">
        <v>3320</v>
      </c>
      <c r="M5" s="30">
        <v>3716</v>
      </c>
      <c r="N5" s="30">
        <v>6400</v>
      </c>
      <c r="O5" s="28">
        <f t="shared" si="0"/>
        <v>1.0908199934661875</v>
      </c>
      <c r="P5" s="28">
        <f t="shared" si="1"/>
        <v>1.0552344251766217</v>
      </c>
      <c r="Q5" s="207"/>
    </row>
    <row r="6" spans="1:17" ht="18" customHeight="1">
      <c r="A6" s="172"/>
      <c r="B6" s="29" t="s">
        <v>186</v>
      </c>
      <c r="C6" s="30"/>
      <c r="D6" s="30">
        <v>6585.52294921875</v>
      </c>
      <c r="E6" s="30">
        <v>6181.39892578125</v>
      </c>
      <c r="F6" s="30">
        <v>4602.3984375</v>
      </c>
      <c r="G6" s="30">
        <v>7175.685546875</v>
      </c>
      <c r="H6" s="30">
        <v>7485.921875</v>
      </c>
      <c r="I6" s="30">
        <v>6208.4619140625</v>
      </c>
      <c r="J6" s="30">
        <v>6019.3701171875</v>
      </c>
      <c r="K6" s="30">
        <v>7481.39892578125</v>
      </c>
      <c r="L6" s="30">
        <v>6113.0419921875</v>
      </c>
      <c r="M6" s="30">
        <v>6691.64599609375</v>
      </c>
      <c r="N6" s="30">
        <v>11495.80859375</v>
      </c>
      <c r="O6" s="28">
        <f t="shared" si="0"/>
        <v>0.74561818133421953</v>
      </c>
      <c r="P6" s="28">
        <f t="shared" si="1"/>
        <v>0.90980258232090894</v>
      </c>
      <c r="Q6" s="206"/>
    </row>
    <row r="7" spans="1:17" ht="18" customHeight="1">
      <c r="A7" s="172"/>
      <c r="B7" s="29" t="s">
        <v>187</v>
      </c>
      <c r="C7" s="30"/>
      <c r="D7" s="30">
        <v>8809.6650390625</v>
      </c>
      <c r="E7" s="30">
        <v>9235.8984375</v>
      </c>
      <c r="F7" s="30">
        <v>8043.44189453125</v>
      </c>
      <c r="G7" s="30">
        <v>11602.3984375</v>
      </c>
      <c r="H7" s="30">
        <v>13589.15234375</v>
      </c>
      <c r="I7" s="30">
        <v>10911.8828125</v>
      </c>
      <c r="J7" s="30">
        <v>11545.3828125</v>
      </c>
      <c r="K7" s="30">
        <v>14212.8369140625</v>
      </c>
      <c r="L7" s="30">
        <v>12705.7802734375</v>
      </c>
      <c r="M7" s="30">
        <v>13188.7509765625</v>
      </c>
      <c r="N7" s="30">
        <v>14240.99609375</v>
      </c>
      <c r="O7" s="28">
        <f t="shared" si="0"/>
        <v>0.61651958736282297</v>
      </c>
      <c r="P7" s="28">
        <f t="shared" si="1"/>
        <v>0.23347976632974898</v>
      </c>
      <c r="Q7" s="206"/>
    </row>
    <row r="8" spans="1:17" ht="18" customHeight="1">
      <c r="A8" s="172"/>
      <c r="B8" s="29" t="s">
        <v>188</v>
      </c>
      <c r="C8" s="31"/>
      <c r="D8" s="31">
        <f ca="1">14.329498*OFFSET(D$112,MATCH($N$1,$C$112:$C$113,0)-1,0)</f>
        <v>14.329497999999999</v>
      </c>
      <c r="E8" s="31">
        <f ca="1">16.547003*OFFSET(E$112,MATCH($N$1,$C$112:$C$113,0)-1,0)</f>
        <v>16.547003</v>
      </c>
      <c r="F8" s="31">
        <f ca="1">12.210286*OFFSET(F$112,MATCH($N$1,$C$112:$C$113,0)-1,0)</f>
        <v>12.210286</v>
      </c>
      <c r="G8" s="31">
        <f ca="1">17.819904*OFFSET(G$112,MATCH($N$1,$C$112:$C$113,0)-1,0)</f>
        <v>17.819904000000001</v>
      </c>
      <c r="H8" s="31">
        <f ca="1">22.777822*OFFSET(H$112,MATCH($N$1,$C$112:$C$113,0)-1,0)</f>
        <v>22.777822</v>
      </c>
      <c r="I8" s="31">
        <f ca="1">18.105014*OFFSET(I$112,MATCH($N$1,$C$112:$C$113,0)-1,0)</f>
        <v>18.105014000000001</v>
      </c>
      <c r="J8" s="31">
        <f ca="1">20.25329*OFFSET(J$112,MATCH($N$1,$C$112:$C$113,0)-1,0)</f>
        <v>20.25329</v>
      </c>
      <c r="K8" s="31">
        <f ca="1">26.226744*OFFSET(K$112,MATCH($N$1,$C$112:$C$113,0)-1,0)</f>
        <v>26.226744</v>
      </c>
      <c r="L8" s="31">
        <f ca="1">22.76498*OFFSET(L$112,MATCH($N$1,$C$112:$C$113,0)-1,0)</f>
        <v>22.764980000000001</v>
      </c>
      <c r="M8" s="31">
        <f ca="1">25.434022*OFFSET(M$112,MATCH($N$1,$C$112:$C$113,0)-1,0)</f>
        <v>25.434021999999999</v>
      </c>
      <c r="N8" s="31">
        <v>23.010269999999998</v>
      </c>
      <c r="O8" s="28">
        <f t="shared" ca="1" si="0"/>
        <v>0.60579735591574801</v>
      </c>
      <c r="P8" s="28">
        <f t="shared" ca="1" si="1"/>
        <v>0.13612504437550632</v>
      </c>
      <c r="Q8" s="206"/>
    </row>
    <row r="9" spans="1:17" ht="18" customHeight="1">
      <c r="A9" s="172"/>
      <c r="B9" s="29" t="s">
        <v>189</v>
      </c>
      <c r="C9" s="30"/>
      <c r="D9" s="30">
        <v>2449</v>
      </c>
      <c r="E9" s="30">
        <v>2310</v>
      </c>
      <c r="F9" s="30">
        <v>1557</v>
      </c>
      <c r="G9" s="30">
        <v>2399</v>
      </c>
      <c r="H9" s="30">
        <v>2678</v>
      </c>
      <c r="I9" s="30">
        <v>2296</v>
      </c>
      <c r="J9" s="30">
        <v>2528</v>
      </c>
      <c r="K9" s="30">
        <v>2705</v>
      </c>
      <c r="L9" s="30">
        <v>2370</v>
      </c>
      <c r="M9" s="30">
        <v>2750</v>
      </c>
      <c r="N9" s="30">
        <v>3972</v>
      </c>
      <c r="O9" s="28">
        <f t="shared" si="0"/>
        <v>0.62188648427929771</v>
      </c>
      <c r="P9" s="28">
        <f t="shared" si="1"/>
        <v>0.57120253164556967</v>
      </c>
      <c r="Q9" s="206"/>
    </row>
    <row r="10" spans="1:17" ht="18" customHeight="1">
      <c r="A10" s="172"/>
      <c r="B10" s="29" t="s">
        <v>190</v>
      </c>
      <c r="C10" s="30"/>
      <c r="D10" s="30">
        <v>98.880355834960938</v>
      </c>
      <c r="E10" s="30">
        <v>100.9146728515625</v>
      </c>
      <c r="F10" s="30">
        <v>57.552703857421875</v>
      </c>
      <c r="G10" s="30">
        <v>116.52338409423828</v>
      </c>
      <c r="H10" s="30">
        <v>121.38865661621094</v>
      </c>
      <c r="I10" s="30">
        <v>100.85933685302734</v>
      </c>
      <c r="J10" s="30">
        <v>91.723289489746094</v>
      </c>
      <c r="K10" s="30">
        <v>179.29238891601563</v>
      </c>
      <c r="L10" s="30">
        <v>113.54320526123047</v>
      </c>
      <c r="M10" s="30">
        <v>116.07502746582031</v>
      </c>
      <c r="N10" s="30">
        <v>184.01463317871094</v>
      </c>
      <c r="O10" s="32">
        <f t="shared" si="0"/>
        <v>0.8609827161812178</v>
      </c>
      <c r="P10" s="32">
        <f t="shared" si="1"/>
        <v>1.0061931293827209</v>
      </c>
      <c r="Q10" s="206"/>
    </row>
    <row r="11" spans="1:17" ht="18" customHeight="1">
      <c r="A11" s="173" t="s">
        <v>191</v>
      </c>
      <c r="B11" s="33" t="s">
        <v>192</v>
      </c>
      <c r="C11" s="34"/>
      <c r="D11" s="34">
        <v>22.558500289916992</v>
      </c>
      <c r="E11" s="34">
        <v>23.76588249206543</v>
      </c>
      <c r="F11" s="34">
        <v>23.332307815551758</v>
      </c>
      <c r="G11" s="34">
        <v>25.007646560668945</v>
      </c>
      <c r="H11" s="34">
        <v>24.441577911376953</v>
      </c>
      <c r="I11" s="34">
        <v>24.149374008178711</v>
      </c>
      <c r="J11" s="34">
        <v>24.066249847412109</v>
      </c>
      <c r="K11" s="34">
        <v>25.570587158203125</v>
      </c>
      <c r="L11" s="34">
        <v>24.865999221801758</v>
      </c>
      <c r="M11" s="34">
        <v>26.718570709228516</v>
      </c>
      <c r="N11" s="34">
        <v>27.861904144287109</v>
      </c>
      <c r="O11" s="28">
        <f t="shared" si="0"/>
        <v>0.23509558641806466</v>
      </c>
      <c r="P11" s="28">
        <f t="shared" si="1"/>
        <v>0.15771689901587033</v>
      </c>
      <c r="Q11" s="206"/>
    </row>
    <row r="12" spans="1:17" ht="18" customHeight="1">
      <c r="A12" s="174"/>
      <c r="B12" s="35" t="s">
        <v>184</v>
      </c>
      <c r="C12" s="30"/>
      <c r="D12" s="30">
        <v>400.35000610351563</v>
      </c>
      <c r="E12" s="30">
        <v>440.17648315429688</v>
      </c>
      <c r="F12" s="30">
        <v>435.38461303710938</v>
      </c>
      <c r="G12" s="30">
        <v>488.23529052734375</v>
      </c>
      <c r="H12" s="30">
        <v>459.368408203125</v>
      </c>
      <c r="I12" s="30">
        <v>470.125</v>
      </c>
      <c r="J12" s="30">
        <v>443.125</v>
      </c>
      <c r="K12" s="30">
        <v>548.70587158203125</v>
      </c>
      <c r="L12" s="30">
        <v>496.20001220703125</v>
      </c>
      <c r="M12" s="30">
        <v>596.5</v>
      </c>
      <c r="N12" s="30">
        <v>701</v>
      </c>
      <c r="O12" s="28">
        <f t="shared" si="0"/>
        <v>0.75096787639050877</v>
      </c>
      <c r="P12" s="28">
        <f t="shared" si="1"/>
        <v>0.58194640338504933</v>
      </c>
      <c r="Q12" s="206"/>
    </row>
    <row r="13" spans="1:17" ht="18" customHeight="1">
      <c r="A13" s="174"/>
      <c r="B13" s="35" t="s">
        <v>185</v>
      </c>
      <c r="C13" s="30"/>
      <c r="D13" s="30">
        <v>153.05000305175781</v>
      </c>
      <c r="E13" s="30">
        <v>178.11764526367188</v>
      </c>
      <c r="F13" s="30">
        <v>174.84616088867188</v>
      </c>
      <c r="G13" s="30">
        <v>210.70588684082031</v>
      </c>
      <c r="H13" s="30">
        <v>197.47367858886719</v>
      </c>
      <c r="I13" s="30">
        <v>193.125</v>
      </c>
      <c r="J13" s="30">
        <v>194.625</v>
      </c>
      <c r="K13" s="30">
        <v>228.29411315917969</v>
      </c>
      <c r="L13" s="30">
        <v>221.33332824707031</v>
      </c>
      <c r="M13" s="30">
        <v>265.42855834960938</v>
      </c>
      <c r="N13" s="30">
        <v>304.76190185546875</v>
      </c>
      <c r="O13" s="28">
        <f t="shared" si="0"/>
        <v>0.99125707793946038</v>
      </c>
      <c r="P13" s="28">
        <f t="shared" si="1"/>
        <v>0.56589288043914576</v>
      </c>
      <c r="Q13" s="206"/>
    </row>
    <row r="14" spans="1:17" ht="18" customHeight="1">
      <c r="A14" s="174"/>
      <c r="B14" s="35" t="s">
        <v>186</v>
      </c>
      <c r="C14" s="30"/>
      <c r="D14" s="30">
        <v>329.27615356445313</v>
      </c>
      <c r="E14" s="30">
        <v>363.61172485351563</v>
      </c>
      <c r="F14" s="30">
        <v>354.0306396484375</v>
      </c>
      <c r="G14" s="30">
        <v>422.09915161132813</v>
      </c>
      <c r="H14" s="30">
        <v>393.99588012695313</v>
      </c>
      <c r="I14" s="30">
        <v>388.02886962890625</v>
      </c>
      <c r="J14" s="30">
        <v>376.21063232421875</v>
      </c>
      <c r="K14" s="30">
        <v>440.082275390625</v>
      </c>
      <c r="L14" s="30">
        <v>407.5361328125</v>
      </c>
      <c r="M14" s="30">
        <v>477.9747314453125</v>
      </c>
      <c r="N14" s="30">
        <v>547.41943359375</v>
      </c>
      <c r="O14" s="28">
        <f t="shared" si="0"/>
        <v>0.66249340460239892</v>
      </c>
      <c r="P14" s="28">
        <f t="shared" si="1"/>
        <v>0.45508761996386987</v>
      </c>
      <c r="Q14" s="206"/>
    </row>
    <row r="15" spans="1:17" ht="18" customHeight="1">
      <c r="A15" s="174"/>
      <c r="B15" s="35" t="s">
        <v>187</v>
      </c>
      <c r="C15" s="31"/>
      <c r="D15" s="31">
        <v>440.4832763671875</v>
      </c>
      <c r="E15" s="31">
        <v>543.28814697265625</v>
      </c>
      <c r="F15" s="31">
        <v>618.726318359375</v>
      </c>
      <c r="G15" s="31">
        <v>682.4940185546875</v>
      </c>
      <c r="H15" s="31">
        <v>715.21856689453125</v>
      </c>
      <c r="I15" s="31">
        <v>681.99267578125</v>
      </c>
      <c r="J15" s="31">
        <v>721.58642578125</v>
      </c>
      <c r="K15" s="31">
        <v>836.0491943359375</v>
      </c>
      <c r="L15" s="31">
        <v>847.05206298828125</v>
      </c>
      <c r="M15" s="31">
        <v>942.05364990234375</v>
      </c>
      <c r="N15" s="31">
        <v>678.14263916015625</v>
      </c>
      <c r="O15" s="28">
        <f t="shared" si="0"/>
        <v>0.53954230624378019</v>
      </c>
      <c r="P15" s="28">
        <f t="shared" si="1"/>
        <v>-6.0205936626451725E-2</v>
      </c>
      <c r="Q15" s="206"/>
    </row>
    <row r="16" spans="1:17" ht="18" customHeight="1">
      <c r="A16" s="174"/>
      <c r="B16" s="35" t="s">
        <v>193</v>
      </c>
      <c r="C16" s="31"/>
      <c r="D16" s="31">
        <f ca="1">716.474875*OFFSET(D$112,MATCH($N$1,$C$112:$C$113,0)-1,0)</f>
        <v>716.474875</v>
      </c>
      <c r="E16" s="31">
        <f ca="1">973.3530625*OFFSET(E$112,MATCH($N$1,$C$112:$C$113,0)-1,0)</f>
        <v>973.35306249999996</v>
      </c>
      <c r="F16" s="31">
        <f ca="1">939.25275*OFFSET(F$112,MATCH($N$1,$C$112:$C$113,0)-1,0)</f>
        <v>939.25274999999999</v>
      </c>
      <c r="G16" s="31">
        <f ca="1">1048.229625*OFFSET(G$112,MATCH($N$1,$C$112:$C$113,0)-1,0)</f>
        <v>1048.2296249999999</v>
      </c>
      <c r="H16" s="31">
        <f ca="1">1198.832625*OFFSET(H$112,MATCH($N$1,$C$112:$C$113,0)-1,0)</f>
        <v>1198.832625</v>
      </c>
      <c r="I16" s="31">
        <f ca="1">1131.563375*OFFSET(I$112,MATCH($N$1,$C$112:$C$113,0)-1,0)</f>
        <v>1131.563375</v>
      </c>
      <c r="J16" s="31">
        <f ca="1">1265.830625*OFFSET(J$112,MATCH($N$1,$C$112:$C$113,0)-1,0)</f>
        <v>1265.8306250000001</v>
      </c>
      <c r="K16" s="31">
        <f ca="1">1542.749625*OFFSET(K$112,MATCH($N$1,$C$112:$C$113,0)-1,0)</f>
        <v>1542.7496249999999</v>
      </c>
      <c r="L16" s="31">
        <f ca="1">1517.665375*OFFSET(L$112,MATCH($N$1,$C$112:$C$113,0)-1,0)</f>
        <v>1517.665375</v>
      </c>
      <c r="M16" s="31">
        <f ca="1">1816.715875*OFFSET(M$112,MATCH($N$1,$C$112:$C$113,0)-1,0)</f>
        <v>1816.7158750000001</v>
      </c>
      <c r="N16" s="31">
        <v>1095.7272499999999</v>
      </c>
      <c r="O16" s="28">
        <f t="shared" ca="1" si="0"/>
        <v>0.52933101806256633</v>
      </c>
      <c r="P16" s="28">
        <f t="shared" ca="1" si="1"/>
        <v>-0.13438083392870995</v>
      </c>
      <c r="Q16" s="206"/>
    </row>
    <row r="17" spans="1:16" ht="18" customHeight="1">
      <c r="A17" s="174"/>
      <c r="B17" s="35" t="s">
        <v>189</v>
      </c>
      <c r="C17" s="30"/>
      <c r="D17" s="30">
        <v>122.44999694824219</v>
      </c>
      <c r="E17" s="30">
        <v>135.88235473632813</v>
      </c>
      <c r="F17" s="30">
        <v>119.76923370361328</v>
      </c>
      <c r="G17" s="30">
        <v>141.11764526367188</v>
      </c>
      <c r="H17" s="30">
        <v>140.94737243652344</v>
      </c>
      <c r="I17" s="30">
        <v>143.5</v>
      </c>
      <c r="J17" s="30">
        <v>158</v>
      </c>
      <c r="K17" s="30">
        <v>159.11764526367188</v>
      </c>
      <c r="L17" s="30">
        <v>158</v>
      </c>
      <c r="M17" s="30">
        <v>196.42857360839844</v>
      </c>
      <c r="N17" s="30">
        <v>189.14285278320313</v>
      </c>
      <c r="O17" s="28">
        <f t="shared" si="0"/>
        <v>0.54465379744477271</v>
      </c>
      <c r="P17" s="28">
        <f t="shared" si="1"/>
        <v>0.19710666318482992</v>
      </c>
    </row>
    <row r="18" spans="1:16" ht="18" customHeight="1">
      <c r="A18" s="174"/>
      <c r="B18" s="35" t="s">
        <v>194</v>
      </c>
      <c r="C18" s="30"/>
      <c r="D18" s="30">
        <v>27.600000381469727</v>
      </c>
      <c r="E18" s="30">
        <v>25.470588684082031</v>
      </c>
      <c r="F18" s="30">
        <v>26.615385055541992</v>
      </c>
      <c r="G18" s="30">
        <v>25.411764144897461</v>
      </c>
      <c r="H18" s="30">
        <v>28</v>
      </c>
      <c r="I18" s="30">
        <v>27.625</v>
      </c>
      <c r="J18" s="30">
        <v>26.6875</v>
      </c>
      <c r="K18" s="30">
        <v>24</v>
      </c>
      <c r="L18" s="30">
        <v>18.600000381469727</v>
      </c>
      <c r="M18" s="30">
        <v>15</v>
      </c>
      <c r="N18" s="30">
        <v>12.476190567016602</v>
      </c>
      <c r="O18" s="28">
        <f t="shared" si="0"/>
        <v>-0.54796411613845664</v>
      </c>
      <c r="P18" s="28">
        <f t="shared" si="1"/>
        <v>-0.53250808179797282</v>
      </c>
    </row>
    <row r="19" spans="1:16" ht="18" customHeight="1">
      <c r="A19" s="174"/>
      <c r="B19" s="35" t="s">
        <v>195</v>
      </c>
      <c r="C19" s="36"/>
      <c r="D19" s="36">
        <v>3.59725022315979</v>
      </c>
      <c r="E19" s="36">
        <v>3.9982244968414307</v>
      </c>
      <c r="F19" s="36">
        <v>5.1659870147705078</v>
      </c>
      <c r="G19" s="36">
        <v>4.8363480567932129</v>
      </c>
      <c r="H19" s="36">
        <v>5.0743660926818848</v>
      </c>
      <c r="I19" s="36">
        <v>4.7525620460510254</v>
      </c>
      <c r="J19" s="36">
        <v>4.5670027732849121</v>
      </c>
      <c r="K19" s="36">
        <v>5.2542834281921387</v>
      </c>
      <c r="L19" s="36">
        <v>5.3610892295837402</v>
      </c>
      <c r="M19" s="36">
        <v>4.7959094047546387</v>
      </c>
      <c r="N19" s="36">
        <v>3.5853464603424072</v>
      </c>
      <c r="O19" s="28">
        <f t="shared" si="0"/>
        <v>-3.3091283838816922E-3</v>
      </c>
      <c r="P19" s="28">
        <f t="shared" si="1"/>
        <v>-0.21494541643039733</v>
      </c>
    </row>
    <row r="20" spans="1:16" ht="18" customHeight="1">
      <c r="A20" s="175"/>
      <c r="B20" s="37" t="s">
        <v>196</v>
      </c>
      <c r="C20" s="38"/>
      <c r="D20" s="38">
        <f ca="1">1627*OFFSET(D$112,MATCH($N$1,$C$112:$C$113,0)-1,0)</f>
        <v>1627</v>
      </c>
      <c r="E20" s="38">
        <f ca="1">1792*OFFSET(E$112,MATCH($N$1,$C$112:$C$113,0)-1,0)</f>
        <v>1792</v>
      </c>
      <c r="F20" s="38">
        <f ca="1">1518*OFFSET(F$112,MATCH($N$1,$C$112:$C$113,0)-1,0)</f>
        <v>1518</v>
      </c>
      <c r="G20" s="38">
        <f ca="1">1536*OFFSET(G$112,MATCH($N$1,$C$112:$C$113,0)-1,0)</f>
        <v>1536</v>
      </c>
      <c r="H20" s="38">
        <f ca="1">1676*OFFSET(H$112,MATCH($N$1,$C$112:$C$113,0)-1,0)</f>
        <v>1676</v>
      </c>
      <c r="I20" s="38">
        <f ca="1">1659*OFFSET(I$112,MATCH($N$1,$C$112:$C$113,0)-1,0)</f>
        <v>1659</v>
      </c>
      <c r="J20" s="38">
        <f ca="1">1754*OFFSET(J$112,MATCH($N$1,$C$112:$C$113,0)-1,0)</f>
        <v>1754</v>
      </c>
      <c r="K20" s="38">
        <f ca="1">1845*OFFSET(K$112,MATCH($N$1,$C$112:$C$113,0)-1,0)</f>
        <v>1845</v>
      </c>
      <c r="L20" s="38">
        <f ca="1">1792*OFFSET(L$112,MATCH($N$1,$C$112:$C$113,0)-1,0)</f>
        <v>1792</v>
      </c>
      <c r="M20" s="38">
        <f ca="1">1928*OFFSET(M$112,MATCH($N$1,$C$112:$C$113,0)-1,0)</f>
        <v>1928</v>
      </c>
      <c r="N20" s="38">
        <v>1616</v>
      </c>
      <c r="O20" s="32">
        <f t="shared" ca="1" si="0"/>
        <v>-6.7609096496619543E-3</v>
      </c>
      <c r="P20" s="32">
        <f t="shared" ca="1" si="1"/>
        <v>-7.8677309007981755E-2</v>
      </c>
    </row>
    <row r="21" spans="1:16" ht="18" customHeight="1">
      <c r="A21" s="176" t="s">
        <v>197</v>
      </c>
      <c r="B21" s="33" t="s">
        <v>198</v>
      </c>
      <c r="C21" s="39"/>
      <c r="D21" s="39">
        <v>8.494813878483118</v>
      </c>
      <c r="E21" s="39">
        <v>8.4982661584921182</v>
      </c>
      <c r="F21" s="39">
        <v>11.529568433337364</v>
      </c>
      <c r="G21" s="39">
        <v>8.9154712208699785</v>
      </c>
      <c r="H21" s="39">
        <v>10.202824663731205</v>
      </c>
      <c r="I21" s="39">
        <v>9.4220250944414463</v>
      </c>
      <c r="J21" s="39">
        <v>9.8505721695795074</v>
      </c>
      <c r="K21" s="39">
        <v>8.5963399164467056</v>
      </c>
      <c r="L21" s="39">
        <v>10.872289145496374</v>
      </c>
      <c r="M21" s="39">
        <v>7.8429870538179509</v>
      </c>
      <c r="N21" s="39">
        <v>4.6394150070321656</v>
      </c>
      <c r="O21" s="28">
        <f t="shared" si="0"/>
        <v>-0.45385324818198303</v>
      </c>
      <c r="P21" s="28">
        <f t="shared" si="1"/>
        <v>-0.52902075867637555</v>
      </c>
    </row>
    <row r="22" spans="1:16" ht="18" customHeight="1">
      <c r="A22" s="176"/>
      <c r="B22" s="35" t="s">
        <v>199</v>
      </c>
      <c r="C22" s="36"/>
      <c r="D22" s="36">
        <f ca="1">13.8173706886908*OFFSET(D$112,MATCH($N$1,$C$112:$C$113,0)-1,0)</f>
        <v>13.817370688690801</v>
      </c>
      <c r="E22" s="36">
        <f ca="1">15.2254626525558*OFFSET(E$112,MATCH($N$1,$C$112:$C$113,0)-1,0)</f>
        <v>15.2254626525558</v>
      </c>
      <c r="F22" s="36">
        <f ca="1">17.502373078359*OFFSET(F$112,MATCH($N$1,$C$112:$C$113,0)-1,0)</f>
        <v>17.502373078359</v>
      </c>
      <c r="G22" s="36">
        <f ca="1">13.6931032367751*OFFSET(G$112,MATCH($N$1,$C$112:$C$113,0)-1,0)</f>
        <v>13.6931032367751</v>
      </c>
      <c r="H22" s="36">
        <f ca="1">17.1017359450616*OFFSET(H$112,MATCH($N$1,$C$112:$C$113,0)-1,0)</f>
        <v>17.101735945061598</v>
      </c>
      <c r="I22" s="36">
        <f ca="1">15.6330396114409*OFFSET(I$112,MATCH($N$1,$C$112:$C$113,0)-1,0)</f>
        <v>15.6330396114409</v>
      </c>
      <c r="J22" s="36">
        <f ca="1">17.2801974656415*OFFSET(J$112,MATCH($N$1,$C$112:$C$113,0)-1,0)</f>
        <v>17.2801974656415</v>
      </c>
      <c r="K22" s="36">
        <f ca="1">15.8627031427313*OFFSET(K$112,MATCH($N$1,$C$112:$C$113,0)-1,0)</f>
        <v>15.8627031427313</v>
      </c>
      <c r="L22" s="36">
        <f ca="1">19.4799086196623*OFFSET(L$112,MATCH($N$1,$C$112:$C$113,0)-1,0)</f>
        <v>19.4799086196623</v>
      </c>
      <c r="M22" s="36">
        <f ca="1">15.1249125668879*OFFSET(M$112,MATCH($N$1,$C$112:$C$113,0)-1,0)</f>
        <v>15.1249125668879</v>
      </c>
      <c r="N22" s="36">
        <v>7.4962598629099215</v>
      </c>
      <c r="O22" s="28">
        <f t="shared" ca="1" si="0"/>
        <v>-0.45747566365535541</v>
      </c>
      <c r="P22" s="28">
        <f t="shared" ca="1" si="1"/>
        <v>-0.5661936226241131</v>
      </c>
    </row>
    <row r="23" spans="1:16" ht="18" customHeight="1">
      <c r="A23" s="176"/>
      <c r="B23" s="35" t="s">
        <v>154</v>
      </c>
      <c r="C23" s="36"/>
      <c r="D23" s="36">
        <f ca="1">11.1857883384576*OFFSET(D$112,MATCH($N$1,$C$112:$C$113,0)-1,0)</f>
        <v>11.1857883384576</v>
      </c>
      <c r="E23" s="36">
        <f ca="1">12.0579757030152*OFFSET(E$112,MATCH($N$1,$C$112:$C$113,0)-1,0)</f>
        <v>12.057975703015201</v>
      </c>
      <c r="F23" s="36">
        <f ca="1">16.0057348696101*OFFSET(F$112,MATCH($N$1,$C$112:$C$113,0)-1,0)</f>
        <v>16.005734869610102</v>
      </c>
      <c r="G23" s="36">
        <f ca="1">12.7273861570788*OFFSET(G$112,MATCH($N$1,$C$112:$C$113,0)-1,0)</f>
        <v>12.727386157078801</v>
      </c>
      <c r="H23" s="36">
        <f ca="1">14.2137483844242*OFFSET(H$112,MATCH($N$1,$C$112:$C$113,0)-1,0)</f>
        <v>14.2137483844242</v>
      </c>
      <c r="I23" s="36">
        <f ca="1">14.0396002158662*OFFSET(I$112,MATCH($N$1,$C$112:$C$113,0)-1,0)</f>
        <v>14.0396002158662</v>
      </c>
      <c r="J23" s="36">
        <f ca="1">14.4387322405491*OFFSET(J$112,MATCH($N$1,$C$112:$C$113,0)-1,0)</f>
        <v>14.438732240549101</v>
      </c>
      <c r="K23" s="36">
        <f ca="1">12.6292699525521*OFFSET(K$112,MATCH($N$1,$C$112:$C$113,0)-1,0)</f>
        <v>12.6292699525521</v>
      </c>
      <c r="L23" s="36">
        <f ca="1">15.1151041485959*OFFSET(L$112,MATCH($N$1,$C$112:$C$113,0)-1,0)</f>
        <v>15.115104148595901</v>
      </c>
      <c r="M23" s="36">
        <f ca="1">13.8415206629632*OFFSET(M$112,MATCH($N$1,$C$112:$C$113,0)-1,0)</f>
        <v>13.8415206629632</v>
      </c>
      <c r="N23" s="36">
        <v>6.7865872228489312</v>
      </c>
      <c r="O23" s="28">
        <f t="shared" ca="1" si="0"/>
        <v>-0.39328485239470135</v>
      </c>
      <c r="P23" s="28">
        <f t="shared" ca="1" si="1"/>
        <v>-0.52997346929186917</v>
      </c>
    </row>
    <row r="24" spans="1:16" ht="18" customHeight="1">
      <c r="A24" s="176"/>
      <c r="B24" s="35" t="s">
        <v>155</v>
      </c>
      <c r="C24" s="36"/>
      <c r="D24" s="36">
        <f ca="1">2.81685006326831*OFFSET(D$112,MATCH($N$1,$C$112:$C$113,0)-1,0)</f>
        <v>2.8168500632683098</v>
      </c>
      <c r="E24" s="36">
        <f ca="1">3.54768558696348*OFFSET(E$112,MATCH($N$1,$C$112:$C$113,0)-1,0)</f>
        <v>3.54768558696348</v>
      </c>
      <c r="F24" s="36">
        <f ca="1">3.64397571913886*OFFSET(F$112,MATCH($N$1,$C$112:$C$113,0)-1,0)</f>
        <v>3.6439757191388602</v>
      </c>
      <c r="G24" s="36">
        <f ca="1">2.70712573445359*OFFSET(G$112,MATCH($N$1,$C$112:$C$113,0)-1,0)</f>
        <v>2.7071257344535899</v>
      </c>
      <c r="H24" s="36">
        <f ca="1">4.45449545498973*OFFSET(H$112,MATCH($N$1,$C$112:$C$113,0)-1,0)</f>
        <v>4.45449545498973</v>
      </c>
      <c r="I24" s="36">
        <f ca="1">3.90725310307609*OFFSET(I$112,MATCH($N$1,$C$112:$C$113,0)-1,0)</f>
        <v>3.9072531030760902</v>
      </c>
      <c r="J24" s="36">
        <f ca="1">4.09202194100603*OFFSET(J$112,MATCH($N$1,$C$112:$C$113,0)-1,0)</f>
        <v>4.0920219410060303</v>
      </c>
      <c r="K24" s="36">
        <f ca="1">4.37591061836298*OFFSET(K$112,MATCH($N$1,$C$112:$C$113,0)-1,0)</f>
        <v>4.3759106183629797</v>
      </c>
      <c r="L24" s="36">
        <f ca="1">5.45809398071836*OFFSET(L$112,MATCH($N$1,$C$112:$C$113,0)-1,0)</f>
        <v>5.4580939807183597</v>
      </c>
      <c r="M24" s="36">
        <f ca="1">1.8954727306904*OFFSET(M$112,MATCH($N$1,$C$112:$C$113,0)-1,0)</f>
        <v>1.8954727306904</v>
      </c>
      <c r="N24" s="36">
        <v>1.1336501593661741</v>
      </c>
      <c r="O24" s="28">
        <f t="shared" ca="1" si="0"/>
        <v>-0.59754685769435933</v>
      </c>
      <c r="P24" s="28">
        <f t="shared" ca="1" si="1"/>
        <v>-0.72296087955787836</v>
      </c>
    </row>
    <row r="25" spans="1:16" ht="18" customHeight="1">
      <c r="A25" s="176"/>
      <c r="B25" s="35" t="s">
        <v>200</v>
      </c>
      <c r="C25" s="31"/>
      <c r="D25" s="31">
        <f ca="1">144.92*OFFSET(D$112,MATCH($N$1,$C$112:$C$113,0)-1,0)</f>
        <v>144.91999999999999</v>
      </c>
      <c r="E25" s="31">
        <f ca="1">163.98*OFFSET(E$112,MATCH($N$1,$C$112:$C$113,0)-1,0)</f>
        <v>163.98</v>
      </c>
      <c r="F25" s="31">
        <f ca="1">212.17*OFFSET(F$112,MATCH($N$1,$C$112:$C$113,0)-1,0)</f>
        <v>212.17</v>
      </c>
      <c r="G25" s="31">
        <f ca="1">152.93*OFFSET(G$112,MATCH($N$1,$C$112:$C$113,0)-1,0)</f>
        <v>152.93</v>
      </c>
      <c r="H25" s="31">
        <f ca="1">187.64*OFFSET(H$112,MATCH($N$1,$C$112:$C$113,0)-1,0)</f>
        <v>187.64</v>
      </c>
      <c r="I25" s="31">
        <f ca="1">179.51*OFFSET(I$112,MATCH($N$1,$C$112:$C$113,0)-1,0)</f>
        <v>179.51</v>
      </c>
      <c r="J25" s="31">
        <f ca="1">220.8*OFFSET(J$112,MATCH($N$1,$C$112:$C$113,0)-1,0)</f>
        <v>220.8</v>
      </c>
      <c r="K25" s="31">
        <f ca="1">146.27*OFFSET(K$112,MATCH($N$1,$C$112:$C$113,0)-1,0)</f>
        <v>146.27000000000001</v>
      </c>
      <c r="L25" s="31">
        <f ca="1">200.5*OFFSET(L$112,MATCH($N$1,$C$112:$C$113,0)-1,0)</f>
        <v>200.5</v>
      </c>
      <c r="M25" s="31">
        <f ca="1">219.12*OFFSET(M$112,MATCH($N$1,$C$112:$C$113,0)-1,0)</f>
        <v>219.12</v>
      </c>
      <c r="N25" s="31">
        <v>125.04</v>
      </c>
      <c r="O25" s="28">
        <f t="shared" ca="1" si="0"/>
        <v>-0.13717913331493226</v>
      </c>
      <c r="P25" s="28">
        <f t="shared" ca="1" si="1"/>
        <v>-0.43369565217391304</v>
      </c>
    </row>
    <row r="26" spans="1:16" ht="18" customHeight="1">
      <c r="A26" s="177"/>
      <c r="B26" s="35" t="s">
        <v>201</v>
      </c>
      <c r="C26" s="31"/>
      <c r="D26" s="31">
        <f ca="1">29.55*OFFSET(D$112,MATCH($N$1,$C$112:$C$113,0)-1,0)</f>
        <v>29.55</v>
      </c>
      <c r="E26" s="31">
        <f ca="1">38.21*OFFSET(E$112,MATCH($N$1,$C$112:$C$113,0)-1,0)</f>
        <v>38.21</v>
      </c>
      <c r="F26" s="31">
        <f ca="1">44.18*OFFSET(F$112,MATCH($N$1,$C$112:$C$113,0)-1,0)</f>
        <v>44.18</v>
      </c>
      <c r="G26" s="31">
        <f ca="1">30.23*OFFSET(G$112,MATCH($N$1,$C$112:$C$113,0)-1,0)</f>
        <v>30.23</v>
      </c>
      <c r="H26" s="31">
        <f ca="1">48.88*OFFSET(H$112,MATCH($N$1,$C$112:$C$113,0)-1,0)</f>
        <v>48.88</v>
      </c>
      <c r="I26" s="31">
        <f ca="1">44.86*OFFSET(I$112,MATCH($N$1,$C$112:$C$113,0)-1,0)</f>
        <v>44.86</v>
      </c>
      <c r="J26" s="31">
        <f ca="1">52.3*OFFSET(J$112,MATCH($N$1,$C$112:$C$113,0)-1,0)</f>
        <v>52.3</v>
      </c>
      <c r="K26" s="31">
        <f ca="1">40.35*OFFSET(K$112,MATCH($N$1,$C$112:$C$113,0)-1,0)</f>
        <v>40.35</v>
      </c>
      <c r="L26" s="31">
        <f ca="1">56.17*OFFSET(L$112,MATCH($N$1,$C$112:$C$113,0)-1,0)</f>
        <v>56.17</v>
      </c>
      <c r="M26" s="31">
        <f ca="1">27.46*OFFSET(M$112,MATCH($N$1,$C$112:$C$113,0)-1,0)</f>
        <v>27.46</v>
      </c>
      <c r="N26" s="31">
        <v>18.91</v>
      </c>
      <c r="O26" s="32">
        <f t="shared" ca="1" si="0"/>
        <v>-0.36006768189509308</v>
      </c>
      <c r="P26" s="32">
        <f t="shared" ca="1" si="1"/>
        <v>-0.63843212237093694</v>
      </c>
    </row>
    <row r="27" spans="1:16" ht="18" customHeight="1">
      <c r="A27" s="166" t="s">
        <v>202</v>
      </c>
      <c r="B27" s="33" t="s">
        <v>193</v>
      </c>
      <c r="C27" s="34"/>
      <c r="D27" s="34">
        <f ca="1">716.5*OFFSET(D$112,MATCH($N$1,$C$112:$C$113,0)-1,0)</f>
        <v>716.5</v>
      </c>
      <c r="E27" s="34">
        <f ca="1">973.4*OFFSET(E$112,MATCH($N$1,$C$112:$C$113,0)-1,0)</f>
        <v>973.4</v>
      </c>
      <c r="F27" s="34">
        <f ca="1">939.3*OFFSET(F$112,MATCH($N$1,$C$112:$C$113,0)-1,0)</f>
        <v>939.3</v>
      </c>
      <c r="G27" s="34">
        <f ca="1">1048.2*OFFSET(G$112,MATCH($N$1,$C$112:$C$113,0)-1,0)</f>
        <v>1048.2</v>
      </c>
      <c r="H27" s="34">
        <f ca="1">1198.8*OFFSET(H$112,MATCH($N$1,$C$112:$C$113,0)-1,0)</f>
        <v>1198.8</v>
      </c>
      <c r="I27" s="34">
        <f ca="1">1131.6*OFFSET(I$112,MATCH($N$1,$C$112:$C$113,0)-1,0)</f>
        <v>1131.5999999999999</v>
      </c>
      <c r="J27" s="34">
        <f ca="1">1265.8*OFFSET(J$112,MATCH($N$1,$C$112:$C$113,0)-1,0)</f>
        <v>1265.8</v>
      </c>
      <c r="K27" s="34">
        <f ca="1">1542.7*OFFSET(K$112,MATCH($N$1,$C$112:$C$113,0)-1,0)</f>
        <v>1542.7</v>
      </c>
      <c r="L27" s="34">
        <f ca="1">1517.7*OFFSET(L$112,MATCH($N$1,$C$112:$C$113,0)-1,0)</f>
        <v>1517.7</v>
      </c>
      <c r="M27" s="34">
        <f ca="1">1816.7*OFFSET(M$112,MATCH($N$1,$C$112:$C$113,0)-1,0)</f>
        <v>1816.7</v>
      </c>
      <c r="N27" s="34">
        <v>1095.7</v>
      </c>
      <c r="O27" s="28">
        <f t="shared" ca="1" si="0"/>
        <v>0.52923935799023036</v>
      </c>
      <c r="P27" s="28">
        <f t="shared" ca="1" si="1"/>
        <v>-0.1343814188655395</v>
      </c>
    </row>
    <row r="28" spans="1:16" ht="18" customHeight="1">
      <c r="A28" s="178"/>
      <c r="B28" s="35" t="s">
        <v>203</v>
      </c>
      <c r="C28" s="31"/>
      <c r="D28" s="31">
        <f ca="1">9.6*OFFSET(D$112,MATCH($N$1,$C$112:$C$113,0)-1,0)</f>
        <v>9.6</v>
      </c>
      <c r="E28" s="31">
        <f ca="1">24.3*OFFSET(E$112,MATCH($N$1,$C$112:$C$113,0)-1,0)</f>
        <v>24.3</v>
      </c>
      <c r="F28" s="31">
        <f ca="1">115.2*OFFSET(F$112,MATCH($N$1,$C$112:$C$113,0)-1,0)</f>
        <v>115.2</v>
      </c>
      <c r="G28" s="31">
        <f ca="1">133.3*OFFSET(G$112,MATCH($N$1,$C$112:$C$113,0)-1,0)</f>
        <v>133.30000000000001</v>
      </c>
      <c r="H28" s="31">
        <f ca="1">109.8*OFFSET(H$112,MATCH($N$1,$C$112:$C$113,0)-1,0)</f>
        <v>109.8</v>
      </c>
      <c r="I28" s="31">
        <f ca="1">167.5*OFFSET(I$112,MATCH($N$1,$C$112:$C$113,0)-1,0)</f>
        <v>167.5</v>
      </c>
      <c r="J28" s="31">
        <f ca="1">91.6*OFFSET(J$112,MATCH($N$1,$C$112:$C$113,0)-1,0)</f>
        <v>91.6</v>
      </c>
      <c r="K28" s="31">
        <f ca="1">111.1*OFFSET(K$112,MATCH($N$1,$C$112:$C$113,0)-1,0)</f>
        <v>111.1</v>
      </c>
      <c r="L28" s="31">
        <f ca="1">85.2*OFFSET(L$112,MATCH($N$1,$C$112:$C$113,0)-1,0)</f>
        <v>85.2</v>
      </c>
      <c r="M28" s="31">
        <f ca="1">73.5*OFFSET(M$112,MATCH($N$1,$C$112:$C$113,0)-1,0)</f>
        <v>73.5</v>
      </c>
      <c r="N28" s="31">
        <v>62</v>
      </c>
      <c r="O28" s="28">
        <f t="shared" ca="1" si="0"/>
        <v>5.458333333333333</v>
      </c>
      <c r="P28" s="28">
        <f t="shared" ca="1" si="1"/>
        <v>-0.32314410480349343</v>
      </c>
    </row>
    <row r="29" spans="1:16" ht="18" customHeight="1">
      <c r="A29" s="178"/>
      <c r="B29" s="40" t="s">
        <v>204</v>
      </c>
      <c r="C29" s="41"/>
      <c r="D29" s="41">
        <f ca="1">726.1*OFFSET(D$112,MATCH($N$1,$C$112:$C$113,0)-1,0)</f>
        <v>726.1</v>
      </c>
      <c r="E29" s="41">
        <f ca="1">997.7*OFFSET(E$112,MATCH($N$1,$C$112:$C$113,0)-1,0)</f>
        <v>997.7</v>
      </c>
      <c r="F29" s="41">
        <f ca="1">1054.5*OFFSET(F$112,MATCH($N$1,$C$112:$C$113,0)-1,0)</f>
        <v>1054.5</v>
      </c>
      <c r="G29" s="41">
        <f ca="1">1181.5*OFFSET(G$112,MATCH($N$1,$C$112:$C$113,0)-1,0)</f>
        <v>1181.5</v>
      </c>
      <c r="H29" s="41">
        <f ca="1">1308.6*OFFSET(H$112,MATCH($N$1,$C$112:$C$113,0)-1,0)</f>
        <v>1308.5999999999999</v>
      </c>
      <c r="I29" s="41">
        <f ca="1">1299*OFFSET(I$112,MATCH($N$1,$C$112:$C$113,0)-1,0)</f>
        <v>1299</v>
      </c>
      <c r="J29" s="41">
        <f ca="1">1357.4*OFFSET(J$112,MATCH($N$1,$C$112:$C$113,0)-1,0)</f>
        <v>1357.4</v>
      </c>
      <c r="K29" s="41">
        <f ca="1">1653.9*OFFSET(K$112,MATCH($N$1,$C$112:$C$113,0)-1,0)</f>
        <v>1653.9</v>
      </c>
      <c r="L29" s="41">
        <f ca="1">1602.8*OFFSET(L$112,MATCH($N$1,$C$112:$C$113,0)-1,0)</f>
        <v>1602.8</v>
      </c>
      <c r="M29" s="41">
        <f ca="1">1890.2*OFFSET(M$112,MATCH($N$1,$C$112:$C$113,0)-1,0)</f>
        <v>1890.2</v>
      </c>
      <c r="N29" s="41">
        <v>1157.7</v>
      </c>
      <c r="O29" s="28">
        <f t="shared" ca="1" si="0"/>
        <v>0.59440848367993393</v>
      </c>
      <c r="P29" s="28">
        <f t="shared" ca="1" si="1"/>
        <v>-0.1471194931486666</v>
      </c>
    </row>
    <row r="30" spans="1:16" ht="18" customHeight="1">
      <c r="A30" s="178"/>
      <c r="B30" s="35" t="s">
        <v>205</v>
      </c>
      <c r="C30" s="31"/>
      <c r="D30" s="31">
        <f ca="1">81.7*OFFSET(D$112,MATCH($N$1,$C$112:$C$113,0)-1,0)</f>
        <v>81.7</v>
      </c>
      <c r="E30" s="31">
        <f ca="1">126.9*OFFSET(E$112,MATCH($N$1,$C$112:$C$113,0)-1,0)</f>
        <v>126.9</v>
      </c>
      <c r="F30" s="31">
        <f ca="1">111.5*OFFSET(F$112,MATCH($N$1,$C$112:$C$113,0)-1,0)</f>
        <v>111.5</v>
      </c>
      <c r="G30" s="31">
        <f ca="1">132.4*OFFSET(G$112,MATCH($N$1,$C$112:$C$113,0)-1,0)</f>
        <v>132.4</v>
      </c>
      <c r="H30" s="31">
        <f ca="1">117.3*OFFSET(H$112,MATCH($N$1,$C$112:$C$113,0)-1,0)</f>
        <v>117.3</v>
      </c>
      <c r="I30" s="31">
        <f ca="1">80.3*OFFSET(I$112,MATCH($N$1,$C$112:$C$113,0)-1,0)</f>
        <v>80.3</v>
      </c>
      <c r="J30" s="31">
        <f ca="1">85.3*OFFSET(J$112,MATCH($N$1,$C$112:$C$113,0)-1,0)</f>
        <v>85.3</v>
      </c>
      <c r="K30" s="31">
        <f ca="1">108.2*OFFSET(K$112,MATCH($N$1,$C$112:$C$113,0)-1,0)</f>
        <v>108.2</v>
      </c>
      <c r="L30" s="31">
        <f ca="1">126.3*OFFSET(L$112,MATCH($N$1,$C$112:$C$113,0)-1,0)</f>
        <v>126.3</v>
      </c>
      <c r="M30" s="31">
        <f ca="1">161.7*OFFSET(M$112,MATCH($N$1,$C$112:$C$113,0)-1,0)</f>
        <v>161.69999999999999</v>
      </c>
      <c r="N30" s="31">
        <v>117</v>
      </c>
      <c r="O30" s="28">
        <f t="shared" ca="1" si="0"/>
        <v>0.43206854345165235</v>
      </c>
      <c r="P30" s="28">
        <f t="shared" ca="1" si="1"/>
        <v>0.37162954279015242</v>
      </c>
    </row>
    <row r="31" spans="1:16" ht="18" customHeight="1">
      <c r="A31" s="178"/>
      <c r="B31" s="35" t="s">
        <v>206</v>
      </c>
      <c r="C31" s="31"/>
      <c r="D31" s="31">
        <f ca="1">167.1*OFFSET(D$112,MATCH($N$1,$C$112:$C$113,0)-1,0)</f>
        <v>167.1</v>
      </c>
      <c r="E31" s="31">
        <f ca="1">214.6*OFFSET(E$112,MATCH($N$1,$C$112:$C$113,0)-1,0)</f>
        <v>214.6</v>
      </c>
      <c r="F31" s="31">
        <f ca="1">216.1*OFFSET(F$112,MATCH($N$1,$C$112:$C$113,0)-1,0)</f>
        <v>216.1</v>
      </c>
      <c r="G31" s="31">
        <f ca="1">314.1*OFFSET(G$112,MATCH($N$1,$C$112:$C$113,0)-1,0)</f>
        <v>314.10000000000002</v>
      </c>
      <c r="H31" s="31">
        <f ca="1">319.1*OFFSET(H$112,MATCH($N$1,$C$112:$C$113,0)-1,0)</f>
        <v>319.10000000000002</v>
      </c>
      <c r="I31" s="31">
        <f ca="1">293*OFFSET(I$112,MATCH($N$1,$C$112:$C$113,0)-1,0)</f>
        <v>293</v>
      </c>
      <c r="J31" s="31">
        <f ca="1">337.3*OFFSET(J$112,MATCH($N$1,$C$112:$C$113,0)-1,0)</f>
        <v>337.3</v>
      </c>
      <c r="K31" s="31">
        <f ca="1">426.5*OFFSET(K$112,MATCH($N$1,$C$112:$C$113,0)-1,0)</f>
        <v>426.5</v>
      </c>
      <c r="L31" s="31">
        <f ca="1">445.5*OFFSET(L$112,MATCH($N$1,$C$112:$C$113,0)-1,0)</f>
        <v>445.5</v>
      </c>
      <c r="M31" s="31">
        <f ca="1">505.3*OFFSET(M$112,MATCH($N$1,$C$112:$C$113,0)-1,0)</f>
        <v>505.3</v>
      </c>
      <c r="N31" s="31">
        <v>310.7</v>
      </c>
      <c r="O31" s="28">
        <f t="shared" ca="1" si="0"/>
        <v>0.85936564931178938</v>
      </c>
      <c r="P31" s="28">
        <f t="shared" ca="1" si="1"/>
        <v>-7.8861547583753397E-2</v>
      </c>
    </row>
    <row r="32" spans="1:16" ht="18" customHeight="1">
      <c r="A32" s="178"/>
      <c r="B32" s="35" t="s">
        <v>207</v>
      </c>
      <c r="C32" s="31"/>
      <c r="D32" s="31">
        <f ca="1">190.9*OFFSET(D$112,MATCH($N$1,$C$112:$C$113,0)-1,0)</f>
        <v>190.9</v>
      </c>
      <c r="E32" s="31">
        <f ca="1">237.1*OFFSET(E$112,MATCH($N$1,$C$112:$C$113,0)-1,0)</f>
        <v>237.1</v>
      </c>
      <c r="F32" s="31">
        <f ca="1">345.8*OFFSET(F$112,MATCH($N$1,$C$112:$C$113,0)-1,0)</f>
        <v>345.8</v>
      </c>
      <c r="G32" s="31">
        <f ca="1">304.6*OFFSET(G$112,MATCH($N$1,$C$112:$C$113,0)-1,0)</f>
        <v>304.60000000000002</v>
      </c>
      <c r="H32" s="31">
        <f ca="1">324*OFFSET(H$112,MATCH($N$1,$C$112:$C$113,0)-1,0)</f>
        <v>324</v>
      </c>
      <c r="I32" s="31">
        <f ca="1">399.4*OFFSET(I$112,MATCH($N$1,$C$112:$C$113,0)-1,0)</f>
        <v>399.4</v>
      </c>
      <c r="J32" s="31">
        <f ca="1">389.5*OFFSET(J$112,MATCH($N$1,$C$112:$C$113,0)-1,0)</f>
        <v>389.5</v>
      </c>
      <c r="K32" s="31">
        <f ca="1">385.5*OFFSET(K$112,MATCH($N$1,$C$112:$C$113,0)-1,0)</f>
        <v>385.5</v>
      </c>
      <c r="L32" s="31">
        <f ca="1">346.2*OFFSET(L$112,MATCH($N$1,$C$112:$C$113,0)-1,0)</f>
        <v>346.2</v>
      </c>
      <c r="M32" s="31">
        <f ca="1">588.6*OFFSET(M$112,MATCH($N$1,$C$112:$C$113,0)-1,0)</f>
        <v>588.6</v>
      </c>
      <c r="N32" s="31">
        <v>249.9</v>
      </c>
      <c r="O32" s="28">
        <f t="shared" ca="1" si="0"/>
        <v>0.30906233630172864</v>
      </c>
      <c r="P32" s="28">
        <f t="shared" ca="1" si="1"/>
        <v>-0.35840821566110398</v>
      </c>
    </row>
    <row r="33" spans="1:16" ht="18" customHeight="1">
      <c r="A33" s="178"/>
      <c r="B33" s="35" t="s">
        <v>208</v>
      </c>
      <c r="C33" s="31"/>
      <c r="D33" s="31">
        <f ca="1">439.7*OFFSET(D$112,MATCH($N$1,$C$112:$C$113,0)-1,0)</f>
        <v>439.7</v>
      </c>
      <c r="E33" s="31">
        <f ca="1">578.6*OFFSET(E$112,MATCH($N$1,$C$112:$C$113,0)-1,0)</f>
        <v>578.6</v>
      </c>
      <c r="F33" s="31">
        <f ca="1">673.5*OFFSET(F$112,MATCH($N$1,$C$112:$C$113,0)-1,0)</f>
        <v>673.5</v>
      </c>
      <c r="G33" s="31">
        <f ca="1">751.1*OFFSET(G$112,MATCH($N$1,$C$112:$C$113,0)-1,0)</f>
        <v>751.1</v>
      </c>
      <c r="H33" s="31">
        <f ca="1">760.4*OFFSET(H$112,MATCH($N$1,$C$112:$C$113,0)-1,0)</f>
        <v>760.4</v>
      </c>
      <c r="I33" s="31">
        <f ca="1">772.7*OFFSET(I$112,MATCH($N$1,$C$112:$C$113,0)-1,0)</f>
        <v>772.7</v>
      </c>
      <c r="J33" s="31">
        <f ca="1">812.2*OFFSET(J$112,MATCH($N$1,$C$112:$C$113,0)-1,0)</f>
        <v>812.2</v>
      </c>
      <c r="K33" s="31">
        <f ca="1">920.2*OFFSET(K$112,MATCH($N$1,$C$112:$C$113,0)-1,0)</f>
        <v>920.2</v>
      </c>
      <c r="L33" s="31">
        <f ca="1">918*OFFSET(L$112,MATCH($N$1,$C$112:$C$113,0)-1,0)</f>
        <v>918</v>
      </c>
      <c r="M33" s="31">
        <f ca="1">1255.6*OFFSET(M$112,MATCH($N$1,$C$112:$C$113,0)-1,0)</f>
        <v>1255.5999999999999</v>
      </c>
      <c r="N33" s="31">
        <v>677.6</v>
      </c>
      <c r="O33" s="28">
        <f t="shared" ca="1" si="0"/>
        <v>0.54105071639754387</v>
      </c>
      <c r="P33" s="28">
        <f t="shared" ca="1" si="1"/>
        <v>-0.16572272839202168</v>
      </c>
    </row>
    <row r="34" spans="1:16" ht="18" customHeight="1">
      <c r="A34" s="178"/>
      <c r="B34" s="35" t="s">
        <v>209</v>
      </c>
      <c r="C34" s="31"/>
      <c r="D34" s="31">
        <f ca="1">140.3*OFFSET(D$112,MATCH($N$1,$C$112:$C$113,0)-1,0)</f>
        <v>140.30000000000001</v>
      </c>
      <c r="E34" s="31">
        <f ca="1">192.3*OFFSET(E$112,MATCH($N$1,$C$112:$C$113,0)-1,0)</f>
        <v>192.3</v>
      </c>
      <c r="F34" s="31">
        <f ca="1">185.5*OFFSET(F$112,MATCH($N$1,$C$112:$C$113,0)-1,0)</f>
        <v>185.5</v>
      </c>
      <c r="G34" s="31">
        <f ca="1">223.2*OFFSET(G$112,MATCH($N$1,$C$112:$C$113,0)-1,0)</f>
        <v>223.2</v>
      </c>
      <c r="H34" s="31">
        <f ca="1">236*OFFSET(H$112,MATCH($N$1,$C$112:$C$113,0)-1,0)</f>
        <v>236</v>
      </c>
      <c r="I34" s="31">
        <f ca="1">243.5*OFFSET(I$112,MATCH($N$1,$C$112:$C$113,0)-1,0)</f>
        <v>243.5</v>
      </c>
      <c r="J34" s="31">
        <f ca="1">245.5*OFFSET(J$112,MATCH($N$1,$C$112:$C$113,0)-1,0)</f>
        <v>245.5</v>
      </c>
      <c r="K34" s="31">
        <f ca="1">308*OFFSET(K$112,MATCH($N$1,$C$112:$C$113,0)-1,0)</f>
        <v>308</v>
      </c>
      <c r="L34" s="31">
        <f ca="1">259.6*OFFSET(L$112,MATCH($N$1,$C$112:$C$113,0)-1,0)</f>
        <v>259.60000000000002</v>
      </c>
      <c r="M34" s="31">
        <f ca="1">407*OFFSET(M$112,MATCH($N$1,$C$112:$C$113,0)-1,0)</f>
        <v>407</v>
      </c>
      <c r="N34" s="31">
        <v>314.40000000000003</v>
      </c>
      <c r="O34" s="28">
        <f t="shared" ca="1" si="0"/>
        <v>1.2409123307198859</v>
      </c>
      <c r="P34" s="28">
        <f t="shared" ca="1" si="1"/>
        <v>0.28065173116089626</v>
      </c>
    </row>
    <row r="35" spans="1:16" ht="18" customHeight="1">
      <c r="A35" s="178"/>
      <c r="B35" s="35" t="s">
        <v>210</v>
      </c>
      <c r="C35" s="31"/>
      <c r="D35" s="31">
        <f ca="1">580*OFFSET(D$112,MATCH($N$1,$C$112:$C$113,0)-1,0)</f>
        <v>580</v>
      </c>
      <c r="E35" s="31">
        <f ca="1">770.9*OFFSET(E$112,MATCH($N$1,$C$112:$C$113,0)-1,0)</f>
        <v>770.9</v>
      </c>
      <c r="F35" s="31">
        <f ca="1">858.9*OFFSET(F$112,MATCH($N$1,$C$112:$C$113,0)-1,0)</f>
        <v>858.9</v>
      </c>
      <c r="G35" s="31">
        <f ca="1">974.3*OFFSET(G$112,MATCH($N$1,$C$112:$C$113,0)-1,0)</f>
        <v>974.3</v>
      </c>
      <c r="H35" s="31">
        <f ca="1">996.4*OFFSET(H$112,MATCH($N$1,$C$112:$C$113,0)-1,0)</f>
        <v>996.4</v>
      </c>
      <c r="I35" s="31">
        <f ca="1">1016.2*OFFSET(I$112,MATCH($N$1,$C$112:$C$113,0)-1,0)</f>
        <v>1016.2</v>
      </c>
      <c r="J35" s="31">
        <f ca="1">1057.7*OFFSET(J$112,MATCH($N$1,$C$112:$C$113,0)-1,0)</f>
        <v>1057.7</v>
      </c>
      <c r="K35" s="31">
        <f ca="1">1228.3*OFFSET(K$112,MATCH($N$1,$C$112:$C$113,0)-1,0)</f>
        <v>1228.3</v>
      </c>
      <c r="L35" s="31">
        <f ca="1">1177.6*OFFSET(L$112,MATCH($N$1,$C$112:$C$113,0)-1,0)</f>
        <v>1177.5999999999999</v>
      </c>
      <c r="M35" s="31">
        <f ca="1">1662.6*OFFSET(M$112,MATCH($N$1,$C$112:$C$113,0)-1,0)</f>
        <v>1662.6</v>
      </c>
      <c r="N35" s="31">
        <v>992</v>
      </c>
      <c r="O35" s="28">
        <f t="shared" ca="1" si="0"/>
        <v>0.71034482758620687</v>
      </c>
      <c r="P35" s="28">
        <f t="shared" ca="1" si="1"/>
        <v>-6.2115911884277245E-2</v>
      </c>
    </row>
    <row r="36" spans="1:16" ht="18" customHeight="1">
      <c r="A36" s="178"/>
      <c r="B36" s="40" t="s">
        <v>211</v>
      </c>
      <c r="C36" s="41"/>
      <c r="D36" s="41">
        <f ca="1">313.2*OFFSET(D$112,MATCH($N$1,$C$112:$C$113,0)-1,0)</f>
        <v>313.2</v>
      </c>
      <c r="E36" s="41">
        <f ca="1">441.4*OFFSET(E$112,MATCH($N$1,$C$112:$C$113,0)-1,0)</f>
        <v>441.4</v>
      </c>
      <c r="F36" s="41">
        <f ca="1">411.7*OFFSET(F$112,MATCH($N$1,$C$112:$C$113,0)-1,0)</f>
        <v>411.7</v>
      </c>
      <c r="G36" s="41">
        <f ca="1">521.3*OFFSET(G$112,MATCH($N$1,$C$112:$C$113,0)-1,0)</f>
        <v>521.29999999999995</v>
      </c>
      <c r="H36" s="41">
        <f ca="1">631.4*OFFSET(H$112,MATCH($N$1,$C$112:$C$113,0)-1,0)</f>
        <v>631.4</v>
      </c>
      <c r="I36" s="41">
        <f ca="1">575.8*OFFSET(I$112,MATCH($N$1,$C$112:$C$113,0)-1,0)</f>
        <v>575.79999999999995</v>
      </c>
      <c r="J36" s="41">
        <f ca="1">637.1*OFFSET(J$112,MATCH($N$1,$C$112:$C$113,0)-1,0)</f>
        <v>637.1</v>
      </c>
      <c r="K36" s="41">
        <f ca="1">852.1*OFFSET(K$112,MATCH($N$1,$C$112:$C$113,0)-1,0)</f>
        <v>852.1</v>
      </c>
      <c r="L36" s="41">
        <f ca="1">870.7*OFFSET(L$112,MATCH($N$1,$C$112:$C$113,0)-1,0)</f>
        <v>870.7</v>
      </c>
      <c r="M36" s="41">
        <f ca="1">733*OFFSET(M$112,MATCH($N$1,$C$112:$C$113,0)-1,0)</f>
        <v>733</v>
      </c>
      <c r="N36" s="41">
        <v>476.4</v>
      </c>
      <c r="O36" s="28">
        <f t="shared" ca="1" si="0"/>
        <v>0.52107279693486586</v>
      </c>
      <c r="P36" s="28">
        <f t="shared" ca="1" si="1"/>
        <v>-0.25223669753570876</v>
      </c>
    </row>
    <row r="37" spans="1:16" ht="18" customHeight="1">
      <c r="A37" s="178"/>
      <c r="B37" s="40" t="s">
        <v>212</v>
      </c>
      <c r="C37" s="41"/>
      <c r="D37" s="41">
        <f ca="1">146.1*OFFSET(D$112,MATCH($N$1,$C$112:$C$113,0)-1,0)</f>
        <v>146.1</v>
      </c>
      <c r="E37" s="41">
        <f ca="1">226.8*OFFSET(E$112,MATCH($N$1,$C$112:$C$113,0)-1,0)</f>
        <v>226.8</v>
      </c>
      <c r="F37" s="41">
        <f ca="1">195.6*OFFSET(F$112,MATCH($N$1,$C$112:$C$113,0)-1,0)</f>
        <v>195.6</v>
      </c>
      <c r="G37" s="41">
        <f ca="1">207.2*OFFSET(G$112,MATCH($N$1,$C$112:$C$113,0)-1,0)</f>
        <v>207.2</v>
      </c>
      <c r="H37" s="41">
        <f ca="1">312.3*OFFSET(H$112,MATCH($N$1,$C$112:$C$113,0)-1,0)</f>
        <v>312.3</v>
      </c>
      <c r="I37" s="41">
        <f ca="1">282.8*OFFSET(I$112,MATCH($N$1,$C$112:$C$113,0)-1,0)</f>
        <v>282.8</v>
      </c>
      <c r="J37" s="41">
        <f ca="1">299.8*OFFSET(J$112,MATCH($N$1,$C$112:$C$113,0)-1,0)</f>
        <v>299.8</v>
      </c>
      <c r="K37" s="41">
        <f ca="1">425.6*OFFSET(K$112,MATCH($N$1,$C$112:$C$113,0)-1,0)</f>
        <v>425.6</v>
      </c>
      <c r="L37" s="41">
        <f ca="1">425.2*OFFSET(L$112,MATCH($N$1,$C$112:$C$113,0)-1,0)</f>
        <v>425.2</v>
      </c>
      <c r="M37" s="41">
        <f ca="1">227.7*OFFSET(M$112,MATCH($N$1,$C$112:$C$113,0)-1,0)</f>
        <v>227.7</v>
      </c>
      <c r="N37" s="41">
        <v>165.70000000000002</v>
      </c>
      <c r="O37" s="28">
        <f t="shared" ca="1" si="0"/>
        <v>0.13415468856947313</v>
      </c>
      <c r="P37" s="28">
        <f t="shared" ca="1" si="1"/>
        <v>-0.44729819879919941</v>
      </c>
    </row>
    <row r="38" spans="1:16" ht="18" customHeight="1">
      <c r="A38" s="178"/>
      <c r="B38" s="35" t="s">
        <v>213</v>
      </c>
      <c r="C38" s="31"/>
      <c r="D38" s="31">
        <f ca="1">74.6*OFFSET(D$112,MATCH($N$1,$C$112:$C$113,0)-1,0)</f>
        <v>74.599999999999994</v>
      </c>
      <c r="E38" s="31">
        <f ca="1">72.7*OFFSET(E$112,MATCH($N$1,$C$112:$C$113,0)-1,0)</f>
        <v>72.7</v>
      </c>
      <c r="F38" s="31">
        <f ca="1">67.8*OFFSET(F$112,MATCH($N$1,$C$112:$C$113,0)-1,0)</f>
        <v>67.8</v>
      </c>
      <c r="G38" s="31">
        <f ca="1">49*OFFSET(G$112,MATCH($N$1,$C$112:$C$113,0)-1,0)</f>
        <v>49</v>
      </c>
      <c r="H38" s="31">
        <f ca="1">77.4*OFFSET(H$112,MATCH($N$1,$C$112:$C$113,0)-1,0)</f>
        <v>77.400000000000006</v>
      </c>
      <c r="I38" s="31">
        <f ca="1">95.9*OFFSET(I$112,MATCH($N$1,$C$112:$C$113,0)-1,0)</f>
        <v>95.9</v>
      </c>
      <c r="J38" s="31">
        <f ca="1">93.5*OFFSET(J$112,MATCH($N$1,$C$112:$C$113,0)-1,0)</f>
        <v>93.5</v>
      </c>
      <c r="K38" s="31">
        <f ca="1">72*OFFSET(K$112,MATCH($N$1,$C$112:$C$113,0)-1,0)</f>
        <v>72</v>
      </c>
      <c r="L38" s="31">
        <f ca="1">69*OFFSET(L$112,MATCH($N$1,$C$112:$C$113,0)-1,0)</f>
        <v>69</v>
      </c>
      <c r="M38" s="31">
        <f ca="1">43*OFFSET(M$112,MATCH($N$1,$C$112:$C$113,0)-1,0)</f>
        <v>43</v>
      </c>
      <c r="N38" s="31"/>
      <c r="O38" s="28" t="str">
        <f t="shared" si="0"/>
        <v/>
      </c>
      <c r="P38" s="28" t="str">
        <f t="shared" si="1"/>
        <v/>
      </c>
    </row>
    <row r="39" spans="1:16" ht="18" customHeight="1">
      <c r="A39" s="178"/>
      <c r="B39" s="35" t="s">
        <v>214</v>
      </c>
      <c r="C39" s="31"/>
      <c r="D39" s="31">
        <f ca="1">17.3*OFFSET(D$112,MATCH($N$1,$C$112:$C$113,0)-1,0)</f>
        <v>17.3</v>
      </c>
      <c r="E39" s="31">
        <f ca="1">17.5*OFFSET(E$112,MATCH($N$1,$C$112:$C$113,0)-1,0)</f>
        <v>17.5</v>
      </c>
      <c r="F39" s="31">
        <f ca="1">23.4*OFFSET(F$112,MATCH($N$1,$C$112:$C$113,0)-1,0)</f>
        <v>23.4</v>
      </c>
      <c r="G39" s="31">
        <f ca="1">12.6*OFFSET(G$112,MATCH($N$1,$C$112:$C$113,0)-1,0)</f>
        <v>12.6</v>
      </c>
      <c r="H39" s="31">
        <f ca="1">14.6*OFFSET(H$112,MATCH($N$1,$C$112:$C$113,0)-1,0)</f>
        <v>14.6</v>
      </c>
      <c r="I39" s="31">
        <f ca="1">12*OFFSET(I$112,MATCH($N$1,$C$112:$C$113,0)-1,0)</f>
        <v>12</v>
      </c>
      <c r="J39" s="31">
        <f ca="1">6.1*OFFSET(J$112,MATCH($N$1,$C$112:$C$113,0)-1,0)</f>
        <v>6.1</v>
      </c>
      <c r="K39" s="31">
        <f ca="1">19.5*OFFSET(K$112,MATCH($N$1,$C$112:$C$113,0)-1,0)</f>
        <v>19.5</v>
      </c>
      <c r="L39" s="31">
        <f ca="1">8.9*OFFSET(L$112,MATCH($N$1,$C$112:$C$113,0)-1,0)</f>
        <v>8.9</v>
      </c>
      <c r="M39" s="31">
        <f ca="1">56.2*OFFSET(M$112,MATCH($N$1,$C$112:$C$113,0)-1,0)</f>
        <v>56.2</v>
      </c>
      <c r="N39" s="31"/>
      <c r="O39" s="28" t="str">
        <f t="shared" si="0"/>
        <v/>
      </c>
      <c r="P39" s="28" t="str">
        <f t="shared" si="1"/>
        <v/>
      </c>
    </row>
    <row r="40" spans="1:16" ht="18" customHeight="1">
      <c r="A40" s="178"/>
      <c r="B40" s="35" t="s">
        <v>215</v>
      </c>
      <c r="C40" s="31"/>
      <c r="D40" s="31"/>
      <c r="E40" s="31">
        <f ca="1">14*OFFSET(E$112,MATCH($N$1,$C$112:$C$113,0)-1,0)</f>
        <v>14</v>
      </c>
      <c r="F40" s="31">
        <f ca="1">9.7*OFFSET(F$112,MATCH($N$1,$C$112:$C$113,0)-1,0)</f>
        <v>9.6999999999999993</v>
      </c>
      <c r="G40" s="31">
        <f ca="1">8.1*OFFSET(G$112,MATCH($N$1,$C$112:$C$113,0)-1,0)</f>
        <v>8.1</v>
      </c>
      <c r="H40" s="31">
        <f ca="1">3.7*OFFSET(H$112,MATCH($N$1,$C$112:$C$113,0)-1,0)</f>
        <v>3.7</v>
      </c>
      <c r="I40" s="31">
        <f ca="1">3.3*OFFSET(I$112,MATCH($N$1,$C$112:$C$113,0)-1,0)</f>
        <v>3.3</v>
      </c>
      <c r="J40" s="31">
        <f ca="1">8.3*OFFSET(J$112,MATCH($N$1,$C$112:$C$113,0)-1,0)</f>
        <v>8.3000000000000007</v>
      </c>
      <c r="K40" s="31">
        <f ca="1">8.1*OFFSET(K$112,MATCH($N$1,$C$112:$C$113,0)-1,0)</f>
        <v>8.1</v>
      </c>
      <c r="L40" s="31">
        <f ca="1">28*OFFSET(L$112,MATCH($N$1,$C$112:$C$113,0)-1,0)</f>
        <v>28</v>
      </c>
      <c r="M40" s="31">
        <f ca="1">2.3*OFFSET(M$112,MATCH($N$1,$C$112:$C$113,0)-1,0)</f>
        <v>2.2999999999999998</v>
      </c>
      <c r="N40" s="31"/>
      <c r="O40" s="28" t="str">
        <f t="shared" si="0"/>
        <v/>
      </c>
      <c r="P40" s="28" t="str">
        <f t="shared" si="1"/>
        <v/>
      </c>
    </row>
    <row r="41" spans="1:16" ht="18" customHeight="1" thickBot="1">
      <c r="A41" s="179"/>
      <c r="B41" s="42" t="s">
        <v>216</v>
      </c>
      <c r="C41" s="43"/>
      <c r="D41" s="43">
        <f ca="1">54.2*OFFSET(D$112,MATCH($N$1,$C$112:$C$113,0)-1,0)</f>
        <v>54.2</v>
      </c>
      <c r="E41" s="43">
        <f ca="1">122.5*OFFSET(E$112,MATCH($N$1,$C$112:$C$113,0)-1,0)</f>
        <v>122.5</v>
      </c>
      <c r="F41" s="43">
        <f ca="1">94.7*OFFSET(F$112,MATCH($N$1,$C$112:$C$113,0)-1,0)</f>
        <v>94.7</v>
      </c>
      <c r="G41" s="43">
        <f ca="1">137.6*OFFSET(G$112,MATCH($N$1,$C$112:$C$113,0)-1,0)</f>
        <v>137.6</v>
      </c>
      <c r="H41" s="43">
        <f ca="1">216.6*OFFSET(H$112,MATCH($N$1,$C$112:$C$113,0)-1,0)</f>
        <v>216.6</v>
      </c>
      <c r="I41" s="43">
        <f ca="1">171.6*OFFSET(I$112,MATCH($N$1,$C$112:$C$113,0)-1,0)</f>
        <v>171.6</v>
      </c>
      <c r="J41" s="43">
        <f ca="1">191.9*OFFSET(J$112,MATCH($N$1,$C$112:$C$113,0)-1,0)</f>
        <v>191.9</v>
      </c>
      <c r="K41" s="43">
        <f ca="1">326*OFFSET(K$112,MATCH($N$1,$C$112:$C$113,0)-1,0)</f>
        <v>326</v>
      </c>
      <c r="L41" s="43">
        <f ca="1">319.3*OFFSET(L$112,MATCH($N$1,$C$112:$C$113,0)-1,0)</f>
        <v>319.3</v>
      </c>
      <c r="M41" s="43">
        <f ca="1">126.2*OFFSET(M$112,MATCH($N$1,$C$112:$C$113,0)-1,0)</f>
        <v>126.2</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158</v>
      </c>
      <c r="F46" s="90" t="s">
        <v>158</v>
      </c>
      <c r="G46" s="90" t="s">
        <v>158</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NSWOS demersal seiners</v>
      </c>
      <c r="B48" s="202"/>
      <c r="C48" s="92"/>
      <c r="D48" s="92"/>
      <c r="E48" s="92"/>
      <c r="F48" s="92"/>
      <c r="G48" s="92"/>
      <c r="H48" s="202"/>
      <c r="I48" s="202"/>
      <c r="J48" s="202"/>
      <c r="K48" s="92" t="str">
        <f>$B24&amp;CHAR(10)&amp;$A$1</f>
        <v>Operating profit per kW day at sea (£)
NSWOS demersal seiners</v>
      </c>
      <c r="L48" s="202"/>
      <c r="M48" s="202"/>
      <c r="N48" s="202"/>
      <c r="O48" s="202"/>
      <c r="P48" s="202"/>
    </row>
    <row r="49" spans="1:11" s="80" customFormat="1">
      <c r="A49" s="92" t="str">
        <f>$B22&amp;CHAR(10)&amp;$A$1</f>
        <v>Fishing income per kW day at sea (£)
NSWOS demersal seiners</v>
      </c>
      <c r="B49" s="202"/>
      <c r="C49" s="202"/>
      <c r="D49" s="202"/>
      <c r="E49" s="202"/>
      <c r="F49" s="202"/>
      <c r="G49" s="202"/>
      <c r="H49" s="202"/>
      <c r="I49" s="202"/>
      <c r="J49" s="202"/>
      <c r="K49" s="202"/>
    </row>
    <row r="50" spans="1:11" s="80" customFormat="1">
      <c r="A50" s="92" t="str">
        <f>$B20&amp;CHAR(10)&amp;$A$1</f>
        <v>Average price per tonne landed (£)
NSWOS demersal seiners</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NSWOS demersal seiners</v>
      </c>
      <c r="C62" s="202"/>
      <c r="D62" s="202"/>
      <c r="E62" s="202"/>
      <c r="F62" s="92" t="str">
        <f>$B20&amp;CHAR(10)&amp;$A$1</f>
        <v>Average price per tonne landed (£)
NSWOS demersal seiners</v>
      </c>
      <c r="G62" s="202"/>
      <c r="H62" s="202"/>
      <c r="I62" s="202"/>
      <c r="J62" s="202"/>
      <c r="K62" s="92" t="str">
        <f>"Average annual operating profit per vessel (£'000)"&amp;CHAR(10)&amp;$A$1</f>
        <v>Average annual operating profit per vessel (£'000)
NSWOS demersal seiners</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NSWOS demersal seiners</v>
      </c>
      <c r="F76" s="92" t="str">
        <f>"Top 5 landed species by value in "&amp;A77&amp;CHAR(10)&amp;A1</f>
        <v>Top 5 landed species by value in 2019
NSWOS demersal seiners</v>
      </c>
    </row>
    <row r="77" spans="1:11" s="92" customFormat="1">
      <c r="A77" s="92">
        <v>2019</v>
      </c>
      <c r="B77" s="92" t="s">
        <v>465</v>
      </c>
      <c r="C77" s="93">
        <v>0.33040963753364333</v>
      </c>
      <c r="D77" s="94">
        <v>12153634</v>
      </c>
      <c r="G77" s="92" t="s">
        <v>466</v>
      </c>
      <c r="H77" s="93">
        <v>0.24503794584262206</v>
      </c>
      <c r="I77" s="94">
        <v>12153634</v>
      </c>
      <c r="K77" s="92" t="s">
        <v>230</v>
      </c>
    </row>
    <row r="78" spans="1:11" s="92" customFormat="1">
      <c r="B78" s="92" t="s">
        <v>467</v>
      </c>
      <c r="C78" s="93">
        <v>0.19637799465261033</v>
      </c>
      <c r="D78" s="94">
        <v>3050596</v>
      </c>
      <c r="G78" s="92" t="s">
        <v>468</v>
      </c>
      <c r="H78" s="93">
        <v>0.23110007548693404</v>
      </c>
      <c r="I78" s="94">
        <v>553960</v>
      </c>
    </row>
    <row r="79" spans="1:11" s="92" customFormat="1">
      <c r="B79" s="92" t="s">
        <v>469</v>
      </c>
      <c r="C79" s="93">
        <v>0.15377614134796602</v>
      </c>
      <c r="D79" s="94">
        <v>553960</v>
      </c>
      <c r="G79" s="92" t="s">
        <v>470</v>
      </c>
      <c r="H79" s="93">
        <v>0.14873378663248324</v>
      </c>
      <c r="I79" s="94">
        <v>3050596</v>
      </c>
    </row>
    <row r="80" spans="1:11" s="92" customFormat="1">
      <c r="B80" s="92" t="s">
        <v>471</v>
      </c>
      <c r="C80" s="93">
        <v>7.214265849040831E-2</v>
      </c>
      <c r="D80" s="94">
        <v>1692097</v>
      </c>
      <c r="G80" s="92" t="s">
        <v>472</v>
      </c>
      <c r="H80" s="93">
        <v>9.8446998328360832E-2</v>
      </c>
      <c r="I80" s="94">
        <v>1692097</v>
      </c>
    </row>
    <row r="81" spans="1:19" s="92" customFormat="1">
      <c r="B81" s="92" t="s">
        <v>473</v>
      </c>
      <c r="C81" s="93">
        <v>5.3758072490309533E-2</v>
      </c>
      <c r="D81" s="94">
        <v>11115023</v>
      </c>
      <c r="G81" s="92" t="s">
        <v>474</v>
      </c>
      <c r="H81" s="93">
        <v>4.6974969801895104E-2</v>
      </c>
      <c r="I81" s="94">
        <v>3689192</v>
      </c>
    </row>
    <row r="82" spans="1:19" s="92" customFormat="1">
      <c r="B82" s="92" t="s">
        <v>475</v>
      </c>
      <c r="C82" s="93">
        <v>0.19353549548506244</v>
      </c>
      <c r="D82" s="94">
        <v>5920853</v>
      </c>
      <c r="G82" s="92" t="s">
        <v>476</v>
      </c>
      <c r="H82" s="93">
        <v>0.22970622390770479</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157</v>
      </c>
      <c r="D92" s="98">
        <v>0.37810984930909769</v>
      </c>
      <c r="E92" s="98">
        <v>0.39852493537864564</v>
      </c>
      <c r="F92" s="98">
        <v>0.33757213383115148</v>
      </c>
      <c r="G92" s="98">
        <v>0.36537246228181097</v>
      </c>
      <c r="H92" s="98">
        <v>0.37030308508093396</v>
      </c>
      <c r="I92" s="98">
        <v>0.28415675870703894</v>
      </c>
      <c r="J92" s="98">
        <v>0.25020052240820517</v>
      </c>
      <c r="K92" s="98">
        <v>0.30772383390297231</v>
      </c>
      <c r="L92" s="98">
        <v>0.24503794584262206</v>
      </c>
      <c r="M92" s="98">
        <v>0.20182270786044665</v>
      </c>
      <c r="O92" s="92">
        <v>12153634</v>
      </c>
    </row>
    <row r="93" spans="1:19" s="92" customFormat="1" hidden="1">
      <c r="B93" s="92">
        <v>2</v>
      </c>
      <c r="C93" s="92" t="s">
        <v>241</v>
      </c>
      <c r="D93" s="98">
        <v>0.20397522937964907</v>
      </c>
      <c r="E93" s="98">
        <v>0.25914551665330687</v>
      </c>
      <c r="F93" s="98">
        <v>0.17013011637707243</v>
      </c>
      <c r="G93" s="98">
        <v>0.14226071779572208</v>
      </c>
      <c r="H93" s="98">
        <v>0.21145673080378574</v>
      </c>
      <c r="I93" s="98">
        <v>0.2447374754822042</v>
      </c>
      <c r="J93" s="98">
        <v>0.20560774165343132</v>
      </c>
      <c r="K93" s="98">
        <v>0.27120520210068022</v>
      </c>
      <c r="L93" s="98">
        <v>0.23110007548693404</v>
      </c>
      <c r="M93" s="98">
        <v>0.1349997414198095</v>
      </c>
      <c r="O93" s="92">
        <v>553960</v>
      </c>
    </row>
    <row r="94" spans="1:19" s="92" customFormat="1" hidden="1">
      <c r="B94" s="92">
        <v>3</v>
      </c>
      <c r="C94" s="92" t="s">
        <v>329</v>
      </c>
      <c r="D94" s="98">
        <v>0.13969379902722928</v>
      </c>
      <c r="E94" s="98">
        <v>0.15821918303115096</v>
      </c>
      <c r="F94" s="98">
        <v>0.11575033247992132</v>
      </c>
      <c r="G94" s="98">
        <v>0.11159738637316681</v>
      </c>
      <c r="H94" s="98">
        <v>0.13706851638502218</v>
      </c>
      <c r="I94" s="98">
        <v>0.1305361736775586</v>
      </c>
      <c r="J94" s="98">
        <v>0.11855348182041203</v>
      </c>
      <c r="K94" s="98">
        <v>0.14755315363338437</v>
      </c>
      <c r="L94" s="98">
        <v>0.14873378663248324</v>
      </c>
      <c r="M94" s="98">
        <v>0.16002785929934765</v>
      </c>
      <c r="O94" s="92">
        <v>3050596</v>
      </c>
    </row>
    <row r="95" spans="1:19" s="92" customFormat="1" hidden="1">
      <c r="B95" s="92">
        <v>4</v>
      </c>
      <c r="C95" s="92" t="s">
        <v>165</v>
      </c>
      <c r="D95" s="98"/>
      <c r="E95" s="98"/>
      <c r="F95" s="98"/>
      <c r="G95" s="98"/>
      <c r="H95" s="98"/>
      <c r="I95" s="98"/>
      <c r="J95" s="98"/>
      <c r="K95" s="98">
        <v>9.0871244730008238E-2</v>
      </c>
      <c r="L95" s="98">
        <v>9.8446998328360832E-2</v>
      </c>
      <c r="M95" s="98"/>
      <c r="O95" s="92">
        <v>1692097</v>
      </c>
    </row>
    <row r="96" spans="1:19" s="92" customFormat="1" hidden="1">
      <c r="B96" s="92">
        <v>5</v>
      </c>
      <c r="C96" s="92" t="s">
        <v>168</v>
      </c>
      <c r="D96" s="98">
        <v>7.242732608834633E-2</v>
      </c>
      <c r="E96" s="98">
        <v>3.9299332631036299E-2</v>
      </c>
      <c r="F96" s="98">
        <v>0.13379116124589549</v>
      </c>
      <c r="G96" s="98">
        <v>0.10885742833971571</v>
      </c>
      <c r="H96" s="98">
        <v>6.0072866403013021E-2</v>
      </c>
      <c r="I96" s="98">
        <v>5.4079495992379177E-2</v>
      </c>
      <c r="J96" s="98">
        <v>0.10166378571632777</v>
      </c>
      <c r="K96" s="98"/>
      <c r="L96" s="98">
        <v>4.6974969801895104E-2</v>
      </c>
      <c r="M96" s="98"/>
      <c r="O96" s="92">
        <v>3689192</v>
      </c>
    </row>
    <row r="97" spans="1:15" s="92" customFormat="1" hidden="1">
      <c r="B97" s="92">
        <v>6</v>
      </c>
      <c r="C97" s="92" t="s">
        <v>169</v>
      </c>
      <c r="D97" s="98"/>
      <c r="E97" s="98"/>
      <c r="F97" s="98">
        <v>3.6310815532958944E-2</v>
      </c>
      <c r="G97" s="98"/>
      <c r="H97" s="98"/>
      <c r="I97" s="98"/>
      <c r="J97" s="98"/>
      <c r="K97" s="98"/>
      <c r="L97" s="98"/>
      <c r="M97" s="98">
        <v>8.7732852548014426E-2</v>
      </c>
      <c r="O97" s="92">
        <v>11115023</v>
      </c>
    </row>
    <row r="98" spans="1:15" s="92" customFormat="1" hidden="1">
      <c r="B98" s="92">
        <v>7</v>
      </c>
      <c r="C98" s="92" t="s">
        <v>161</v>
      </c>
      <c r="D98" s="98"/>
      <c r="E98" s="98"/>
      <c r="F98" s="98"/>
      <c r="G98" s="98"/>
      <c r="H98" s="98"/>
      <c r="I98" s="98">
        <v>4.6560879221878439E-2</v>
      </c>
      <c r="J98" s="98"/>
      <c r="K98" s="98">
        <v>3.9365104364128045E-2</v>
      </c>
      <c r="L98" s="98"/>
      <c r="M98" s="98"/>
      <c r="O98" s="92">
        <v>2480382</v>
      </c>
    </row>
    <row r="99" spans="1:15" s="92" customFormat="1" hidden="1">
      <c r="B99" s="92">
        <v>8</v>
      </c>
      <c r="C99" s="92" t="s">
        <v>169</v>
      </c>
      <c r="D99" s="98"/>
      <c r="E99" s="98"/>
      <c r="F99" s="98"/>
      <c r="G99" s="98">
        <v>6.2816203319949748E-2</v>
      </c>
      <c r="H99" s="98">
        <v>3.3581266061603665E-2</v>
      </c>
      <c r="I99" s="98"/>
      <c r="J99" s="98">
        <v>7.1005936652375909E-2</v>
      </c>
      <c r="K99" s="98"/>
      <c r="L99" s="98"/>
      <c r="M99" s="98"/>
      <c r="O99" s="92">
        <v>7434864</v>
      </c>
    </row>
    <row r="100" spans="1:15" s="92" customFormat="1" hidden="1">
      <c r="B100" s="92">
        <v>9</v>
      </c>
      <c r="C100" s="92" t="s">
        <v>310</v>
      </c>
      <c r="D100" s="98">
        <v>4.2913432718830094E-2</v>
      </c>
      <c r="E100" s="98">
        <v>4.2995540649766316E-2</v>
      </c>
      <c r="F100" s="98"/>
      <c r="G100" s="98"/>
      <c r="H100" s="98"/>
      <c r="I100" s="98"/>
      <c r="J100" s="98"/>
      <c r="K100" s="98"/>
      <c r="L100" s="98"/>
      <c r="M100" s="98"/>
      <c r="O100" s="92">
        <v>8497745</v>
      </c>
    </row>
    <row r="101" spans="1:15" s="92" customFormat="1" hidden="1">
      <c r="B101" s="92">
        <v>10</v>
      </c>
      <c r="C101" s="92" t="s">
        <v>245</v>
      </c>
      <c r="D101" s="98">
        <v>0.16288036347684753</v>
      </c>
      <c r="E101" s="98">
        <v>0.10181549165609387</v>
      </c>
      <c r="F101" s="98">
        <v>0.20644544053300032</v>
      </c>
      <c r="G101" s="98">
        <v>0.20909580188963464</v>
      </c>
      <c r="H101" s="98">
        <v>0.18751753526564144</v>
      </c>
      <c r="I101" s="98">
        <v>0.23992921691894062</v>
      </c>
      <c r="J101" s="98">
        <v>0.25296853174924777</v>
      </c>
      <c r="K101" s="98">
        <v>0.14328146126882682</v>
      </c>
      <c r="L101" s="98">
        <v>0.22970622390770473</v>
      </c>
      <c r="M101" s="98">
        <v>0.34448498974588304</v>
      </c>
      <c r="O101" s="92">
        <v>5920853</v>
      </c>
    </row>
    <row r="102" spans="1:15" s="92" customFormat="1" hidden="1">
      <c r="B102" s="92">
        <v>11</v>
      </c>
      <c r="D102" s="98"/>
      <c r="E102" s="98"/>
      <c r="F102" s="98"/>
      <c r="G102" s="98"/>
      <c r="H102" s="98"/>
      <c r="I102" s="98"/>
      <c r="J102" s="98"/>
      <c r="K102" s="98"/>
      <c r="L102" s="98"/>
      <c r="M102" s="98"/>
      <c r="O102" s="92">
        <v>2887140</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11</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t="s">
        <v>253</v>
      </c>
      <c r="D120" s="54">
        <v>6</v>
      </c>
      <c r="E120" s="54" t="s">
        <v>253</v>
      </c>
      <c r="F120" s="55">
        <v>14</v>
      </c>
    </row>
    <row r="121" spans="1:15" ht="18" customHeight="1">
      <c r="A121" s="173" t="s">
        <v>191</v>
      </c>
      <c r="B121" s="33" t="s">
        <v>192</v>
      </c>
      <c r="C121" s="56"/>
      <c r="D121" s="56">
        <v>25.46833324432373</v>
      </c>
      <c r="E121" s="56"/>
      <c r="F121" s="57">
        <v>26.718570709228516</v>
      </c>
      <c r="G121" s="206"/>
      <c r="H121" s="206"/>
      <c r="I121" s="206"/>
      <c r="J121" s="206"/>
      <c r="K121" s="206"/>
      <c r="L121" s="206"/>
      <c r="M121" s="206"/>
      <c r="N121" s="206"/>
      <c r="O121" s="206"/>
    </row>
    <row r="122" spans="1:15" ht="18" customHeight="1">
      <c r="A122" s="174"/>
      <c r="B122" s="35" t="s">
        <v>184</v>
      </c>
      <c r="C122" s="58"/>
      <c r="D122" s="58">
        <v>498.66667175292969</v>
      </c>
      <c r="E122" s="58"/>
      <c r="F122" s="59">
        <v>596.5</v>
      </c>
      <c r="G122" s="206"/>
      <c r="H122" s="206"/>
      <c r="I122" s="206"/>
      <c r="J122" s="206"/>
      <c r="K122" s="206"/>
      <c r="L122" s="206"/>
      <c r="M122" s="206"/>
      <c r="N122" s="206"/>
      <c r="O122" s="206"/>
    </row>
    <row r="123" spans="1:15" ht="18" customHeight="1">
      <c r="A123" s="174"/>
      <c r="B123" s="35" t="s">
        <v>185</v>
      </c>
      <c r="C123" s="58"/>
      <c r="D123" s="58">
        <v>219.83332824707031</v>
      </c>
      <c r="E123" s="58"/>
      <c r="F123" s="59">
        <v>265.42855834960938</v>
      </c>
      <c r="G123" s="206"/>
      <c r="H123" s="206"/>
      <c r="I123" s="206"/>
      <c r="J123" s="206"/>
      <c r="K123" s="206"/>
      <c r="L123" s="206"/>
      <c r="M123" s="206"/>
      <c r="N123" s="206"/>
      <c r="O123" s="206"/>
    </row>
    <row r="124" spans="1:15" ht="18" customHeight="1">
      <c r="A124" s="174"/>
      <c r="B124" s="35" t="s">
        <v>186</v>
      </c>
      <c r="C124" s="58"/>
      <c r="D124" s="58">
        <v>414.74032592773438</v>
      </c>
      <c r="E124" s="58"/>
      <c r="F124" s="59">
        <v>477.9747314453125</v>
      </c>
      <c r="G124" s="206"/>
      <c r="H124" s="206"/>
      <c r="I124" s="206"/>
      <c r="J124" s="206"/>
      <c r="K124" s="206"/>
      <c r="L124" s="206"/>
      <c r="M124" s="206"/>
      <c r="N124" s="206"/>
      <c r="O124" s="206"/>
    </row>
    <row r="125" spans="1:15" ht="18" customHeight="1">
      <c r="A125" s="174"/>
      <c r="B125" s="35" t="s">
        <v>187</v>
      </c>
      <c r="C125" s="31"/>
      <c r="D125" s="31">
        <v>1034.4049682617188</v>
      </c>
      <c r="E125" s="31"/>
      <c r="F125" s="60">
        <v>942.05364990234375</v>
      </c>
      <c r="G125" s="206"/>
      <c r="H125" s="206"/>
      <c r="I125" s="206"/>
      <c r="J125" s="206"/>
      <c r="K125" s="206"/>
      <c r="L125" s="206"/>
      <c r="M125" s="206"/>
      <c r="N125" s="206"/>
      <c r="O125" s="206"/>
    </row>
    <row r="126" spans="1:15" ht="18" customHeight="1">
      <c r="A126" s="174"/>
      <c r="B126" s="35" t="s">
        <v>193</v>
      </c>
      <c r="C126" s="31"/>
      <c r="D126" s="31">
        <f ca="1">1737.9913125*OFFSET($L$112,MATCH($N$1,$C$112:$C$113,0)-1,0)</f>
        <v>1737.9913125</v>
      </c>
      <c r="E126" s="31"/>
      <c r="F126" s="60">
        <f ca="1">1816.715875*OFFSET($L$112,MATCH($N$1,$C$112:$C$113,0)-1,0)</f>
        <v>1816.7158750000001</v>
      </c>
      <c r="G126" s="206"/>
      <c r="H126" s="206"/>
      <c r="I126" s="206"/>
      <c r="J126" s="206"/>
      <c r="K126" s="206"/>
      <c r="L126" s="206"/>
      <c r="M126" s="206"/>
      <c r="N126" s="206"/>
      <c r="O126" s="206"/>
    </row>
    <row r="127" spans="1:15" ht="18" customHeight="1">
      <c r="A127" s="174"/>
      <c r="B127" s="35" t="s">
        <v>189</v>
      </c>
      <c r="C127" s="58"/>
      <c r="D127" s="58">
        <v>192.83333587646484</v>
      </c>
      <c r="E127" s="58"/>
      <c r="F127" s="59">
        <v>196.42857360839844</v>
      </c>
      <c r="G127" s="206"/>
      <c r="H127" s="206"/>
      <c r="I127" s="206"/>
      <c r="J127" s="206"/>
      <c r="K127" s="206"/>
      <c r="L127" s="206"/>
      <c r="M127" s="206"/>
      <c r="N127" s="206"/>
      <c r="O127" s="206"/>
    </row>
    <row r="128" spans="1:15" ht="18" customHeight="1">
      <c r="A128" s="174"/>
      <c r="B128" s="35" t="s">
        <v>194</v>
      </c>
      <c r="C128" s="58"/>
      <c r="D128" s="58">
        <v>20.333333492279053</v>
      </c>
      <c r="E128" s="58"/>
      <c r="F128" s="59">
        <v>15</v>
      </c>
      <c r="G128" s="206"/>
      <c r="H128" s="206"/>
      <c r="I128" s="206"/>
      <c r="J128" s="206"/>
      <c r="K128" s="206"/>
      <c r="L128" s="206"/>
      <c r="M128" s="206"/>
      <c r="N128" s="206"/>
      <c r="O128" s="206"/>
    </row>
    <row r="129" spans="1:15" ht="18" customHeight="1">
      <c r="A129" s="174"/>
      <c r="B129" s="35" t="s">
        <v>195</v>
      </c>
      <c r="C129" s="61"/>
      <c r="D129" s="61">
        <v>5.3642434984602012</v>
      </c>
      <c r="E129" s="61"/>
      <c r="F129" s="62">
        <v>4.7959094047546387</v>
      </c>
      <c r="G129" s="206"/>
      <c r="H129" s="206"/>
      <c r="I129" s="206"/>
      <c r="J129" s="206"/>
      <c r="K129" s="206"/>
      <c r="L129" s="206"/>
      <c r="M129" s="206"/>
      <c r="N129" s="206"/>
      <c r="O129" s="206"/>
    </row>
    <row r="130" spans="1:15" ht="18" customHeight="1">
      <c r="A130" s="175"/>
      <c r="B130" s="37" t="s">
        <v>196</v>
      </c>
      <c r="C130" s="38"/>
      <c r="D130" s="38">
        <f ca="1">1680.18461417546*OFFSET($L$112,MATCH($N$1,$C$112:$C$113,0)-1,0)</f>
        <v>1680.18461417546</v>
      </c>
      <c r="E130" s="38"/>
      <c r="F130" s="63">
        <f ca="1">1928*OFFSET($L$112,MATCH($N$1,$C$112:$C$113,0)-1,0)</f>
        <v>1928</v>
      </c>
      <c r="G130" s="206"/>
      <c r="H130" s="206"/>
      <c r="I130" s="206"/>
      <c r="J130" s="206"/>
      <c r="K130" s="206"/>
      <c r="L130" s="206"/>
      <c r="M130" s="206"/>
      <c r="N130" s="206"/>
      <c r="O130" s="206"/>
    </row>
    <row r="131" spans="1:15" ht="18" customHeight="1">
      <c r="A131" s="184" t="s">
        <v>197</v>
      </c>
      <c r="B131" s="33" t="s">
        <v>198</v>
      </c>
      <c r="C131" s="64"/>
      <c r="D131" s="64">
        <v>10.708089159849791</v>
      </c>
      <c r="E131" s="64"/>
      <c r="F131" s="65">
        <v>7.8429870538179509</v>
      </c>
      <c r="G131" s="206"/>
      <c r="H131" s="206"/>
      <c r="I131" s="206"/>
      <c r="J131" s="206"/>
      <c r="K131" s="206"/>
      <c r="L131" s="206"/>
      <c r="M131" s="206"/>
      <c r="N131" s="206"/>
      <c r="O131" s="206"/>
    </row>
    <row r="132" spans="1:15" ht="18" customHeight="1">
      <c r="A132" s="185"/>
      <c r="B132" s="35" t="s">
        <v>199</v>
      </c>
      <c r="C132" s="61"/>
      <c r="D132" s="61">
        <f ca="1">17.9915666535987*OFFSET($L$112,MATCH($N$1,$C$112:$C$113,0)-1,0)</f>
        <v>17.991566653598699</v>
      </c>
      <c r="E132" s="61"/>
      <c r="F132" s="62">
        <f ca="1">15.1249125668879*OFFSET($L$112,MATCH($N$1,$C$112:$C$113,0)-1,0)</f>
        <v>15.1249125668879</v>
      </c>
      <c r="G132" s="206"/>
      <c r="H132" s="206"/>
      <c r="I132" s="206"/>
      <c r="J132" s="206"/>
      <c r="K132" s="206"/>
      <c r="L132" s="206"/>
      <c r="M132" s="206"/>
      <c r="N132" s="206"/>
      <c r="O132" s="206"/>
    </row>
    <row r="133" spans="1:15" ht="18" customHeight="1">
      <c r="A133" s="185"/>
      <c r="B133" s="35" t="s">
        <v>154</v>
      </c>
      <c r="C133" s="61"/>
      <c r="D133" s="61">
        <f ca="1">15.7210646233464*OFFSET($L$112,MATCH($N$1,$C$112:$C$113,0)-1,0)</f>
        <v>15.7210646233464</v>
      </c>
      <c r="E133" s="61"/>
      <c r="F133" s="62">
        <f ca="1">13.2294398361975*OFFSET($L$112,MATCH($N$1,$C$112:$C$113,0)-1,0)</f>
        <v>13.2294398361975</v>
      </c>
      <c r="G133" s="206"/>
      <c r="H133" s="206"/>
      <c r="I133" s="206"/>
      <c r="J133" s="206"/>
      <c r="K133" s="206"/>
      <c r="L133" s="206"/>
      <c r="M133" s="206"/>
      <c r="N133" s="206"/>
      <c r="O133" s="206"/>
    </row>
    <row r="134" spans="1:15" ht="18" customHeight="1">
      <c r="A134" s="186"/>
      <c r="B134" s="37" t="s">
        <v>155</v>
      </c>
      <c r="C134" s="66"/>
      <c r="D134" s="66">
        <f ca="1">2.27050203025231*OFFSET($L$112,MATCH($N$1,$C$112:$C$113,0)-1,0)</f>
        <v>2.27050203025231</v>
      </c>
      <c r="E134" s="66"/>
      <c r="F134" s="67">
        <f ca="1">1.8954727306904*OFFSET($L$112,MATCH($N$1,$C$112:$C$113,0)-1,0)</f>
        <v>1.8954727306904</v>
      </c>
      <c r="G134" s="206"/>
      <c r="H134" s="206"/>
      <c r="I134" s="206"/>
      <c r="J134" s="206"/>
      <c r="K134" s="206"/>
      <c r="L134" s="206"/>
      <c r="M134" s="206"/>
      <c r="N134" s="206"/>
      <c r="O134" s="206"/>
    </row>
    <row r="135" spans="1:15" ht="18" customHeight="1">
      <c r="A135" s="187" t="s">
        <v>254</v>
      </c>
      <c r="B135" s="35" t="s">
        <v>255</v>
      </c>
      <c r="C135" s="68"/>
      <c r="D135" s="68">
        <f ca="1">153.1824296875*OFFSET($L$112,MATCH($N$1,$C$112:$C$113,0)-1,0)</f>
        <v>153.18242968749999</v>
      </c>
      <c r="E135" s="68"/>
      <c r="F135" s="69">
        <f ca="1">161.714109375*OFFSET($L$112,MATCH($N$1,$C$112:$C$113,0)-1,0)</f>
        <v>161.71410937499999</v>
      </c>
      <c r="G135" s="206"/>
      <c r="H135" s="206"/>
      <c r="I135" s="206"/>
      <c r="J135" s="206"/>
      <c r="K135" s="206"/>
      <c r="L135" s="206"/>
      <c r="M135" s="206"/>
      <c r="N135" s="206"/>
      <c r="O135" s="206"/>
    </row>
    <row r="136" spans="1:15" ht="18" customHeight="1">
      <c r="A136" s="188"/>
      <c r="B136" s="35" t="s">
        <v>256</v>
      </c>
      <c r="C136" s="30"/>
      <c r="D136" s="30">
        <v>292108.33809503261</v>
      </c>
      <c r="E136" s="30"/>
      <c r="F136" s="70">
        <v>308278.57142857142</v>
      </c>
      <c r="G136" s="206"/>
      <c r="H136" s="206"/>
      <c r="I136" s="206"/>
      <c r="J136" s="206"/>
      <c r="K136" s="206"/>
      <c r="L136" s="206"/>
      <c r="M136" s="206"/>
      <c r="N136" s="206"/>
      <c r="O136" s="206"/>
    </row>
    <row r="137" spans="1:15" ht="18" customHeight="1">
      <c r="A137" s="188"/>
      <c r="B137" s="35" t="s">
        <v>257</v>
      </c>
      <c r="C137" s="30"/>
      <c r="D137" s="30">
        <v>1514.8228223473066</v>
      </c>
      <c r="E137" s="30"/>
      <c r="F137" s="70">
        <v>1569.418212890625</v>
      </c>
      <c r="G137" s="206"/>
      <c r="H137" s="206"/>
      <c r="I137" s="206"/>
      <c r="J137" s="206"/>
      <c r="K137" s="206"/>
      <c r="L137" s="206"/>
      <c r="M137" s="206"/>
      <c r="N137" s="206"/>
      <c r="O137" s="206"/>
    </row>
    <row r="138" spans="1:15" ht="18" customHeight="1">
      <c r="A138" s="188"/>
      <c r="B138" s="35" t="s">
        <v>258</v>
      </c>
      <c r="C138" s="30"/>
      <c r="D138" s="30">
        <f ca="1">794.37732584595*OFFSET($L$112,MATCH($N$1,$C$112:$C$113,0)-1,0)</f>
        <v>794.37732584595005</v>
      </c>
      <c r="E138" s="30"/>
      <c r="F138" s="70">
        <f ca="1">823.271820409359*OFFSET($L$112,MATCH($N$1,$C$112:$C$113,0)-1,0)</f>
        <v>823.27182040935895</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c r="D139" s="30">
        <f ca="1">148.087484483875*OFFSET($L$112,MATCH($N$1,$C$112:$C$113,0)-1,0)</f>
        <v>148.08748448387499</v>
      </c>
      <c r="E139" s="30"/>
      <c r="F139" s="70">
        <f ca="1">171.661252405066*OFFSET($L$112,MATCH($N$1,$C$112:$C$113,0)-1,0)</f>
        <v>171.66125240506599</v>
      </c>
      <c r="G139" s="206"/>
      <c r="H139" s="206"/>
      <c r="I139" s="46"/>
      <c r="J139" s="206"/>
      <c r="K139" s="71" t="s">
        <v>260</v>
      </c>
      <c r="L139" s="72">
        <f t="shared" ref="L139:M141" si="2">C140</f>
        <v>0</v>
      </c>
      <c r="M139" s="72">
        <f t="shared" ca="1" si="2"/>
        <v>1808.3250625000001</v>
      </c>
      <c r="N139" s="72">
        <f>E140</f>
        <v>0</v>
      </c>
      <c r="O139" s="72"/>
    </row>
    <row r="140" spans="1:15" ht="18" customHeight="1">
      <c r="A140" s="166" t="s">
        <v>261</v>
      </c>
      <c r="B140" s="33" t="s">
        <v>262</v>
      </c>
      <c r="C140" s="73"/>
      <c r="D140" s="73">
        <f ca="1">1808.3250625*OFFSET($L$112,MATCH($N$1,$C$112:$C$113,0)-1,0)</f>
        <v>1808.3250625000001</v>
      </c>
      <c r="E140" s="73"/>
      <c r="F140" s="74">
        <f ca="1">1890.2355*OFFSET($L$112,MATCH($N$1,$C$112:$C$113,0)-1,0)</f>
        <v>1890.2355</v>
      </c>
      <c r="G140" s="206"/>
      <c r="H140" s="206"/>
      <c r="I140" s="46"/>
      <c r="J140" s="206"/>
      <c r="K140" s="71" t="s">
        <v>263</v>
      </c>
      <c r="L140" s="72">
        <f t="shared" si="2"/>
        <v>0</v>
      </c>
      <c r="M140" s="72">
        <f t="shared" ca="1" si="2"/>
        <v>1588.9938125000001</v>
      </c>
      <c r="N140" s="72">
        <f>E141</f>
        <v>0</v>
      </c>
      <c r="O140" s="72"/>
    </row>
    <row r="141" spans="1:15" ht="18" customHeight="1">
      <c r="A141" s="167"/>
      <c r="B141" s="35" t="s">
        <v>264</v>
      </c>
      <c r="C141" s="30"/>
      <c r="D141" s="30">
        <f ca="1">1588.9938125*OFFSET($L$112,MATCH($N$1,$C$112:$C$113,0)-1,0)</f>
        <v>1588.9938125000001</v>
      </c>
      <c r="E141" s="30"/>
      <c r="F141" s="70">
        <f ca="1">1662.562375*OFFSET($L$112,MATCH($N$1,$C$112:$C$113,0)-1,0)</f>
        <v>1662.562375</v>
      </c>
      <c r="G141" s="206"/>
      <c r="H141" s="206"/>
      <c r="I141" s="46"/>
      <c r="J141" s="206"/>
      <c r="K141" s="71" t="s">
        <v>265</v>
      </c>
      <c r="L141" s="72">
        <f t="shared" si="2"/>
        <v>0</v>
      </c>
      <c r="M141" s="72">
        <f t="shared" ca="1" si="2"/>
        <v>219.33125000000001</v>
      </c>
      <c r="N141" s="72">
        <f>E142</f>
        <v>0</v>
      </c>
      <c r="O141" s="72"/>
    </row>
    <row r="142" spans="1:15" ht="18" customHeight="1">
      <c r="A142" s="168"/>
      <c r="B142" s="37" t="s">
        <v>266</v>
      </c>
      <c r="C142" s="38"/>
      <c r="D142" s="38">
        <f ca="1">219.33125*OFFSET($L$112,MATCH($N$1,$C$112:$C$113,0)-1,0)</f>
        <v>219.33125000000001</v>
      </c>
      <c r="E142" s="38"/>
      <c r="F142" s="63">
        <f ca="1">227.673078125*OFFSET($L$112,MATCH($N$1,$C$112:$C$113,0)-1,0)</f>
        <v>227.67307812499999</v>
      </c>
      <c r="G142" s="206"/>
      <c r="H142" s="206"/>
      <c r="I142" s="46"/>
      <c r="J142" s="206"/>
      <c r="K142" s="71" t="s">
        <v>267</v>
      </c>
      <c r="L142" s="75" t="str">
        <f>IFERROR(L140/L$139,"")</f>
        <v/>
      </c>
      <c r="M142" s="75">
        <f t="shared" ref="M142:N143" ca="1" si="3">IFERROR(M140/M$139,"")</f>
        <v>0.8787102747463027</v>
      </c>
      <c r="N142" s="75" t="str">
        <f t="shared" si="3"/>
        <v/>
      </c>
      <c r="O142" s="75"/>
    </row>
    <row r="143" spans="1:15" ht="18" customHeight="1">
      <c r="A143" s="206"/>
      <c r="B143" s="206"/>
      <c r="C143" s="206"/>
      <c r="D143" s="206"/>
      <c r="E143" s="206"/>
      <c r="F143" s="206"/>
      <c r="G143" s="206"/>
      <c r="H143" s="206"/>
      <c r="I143" s="46"/>
      <c r="J143" s="206"/>
      <c r="K143" s="71" t="s">
        <v>268</v>
      </c>
      <c r="L143" s="75" t="str">
        <f>IFERROR(L141/L$139,"")</f>
        <v/>
      </c>
      <c r="M143" s="75">
        <f t="shared" ca="1" si="3"/>
        <v>0.1212897252536973</v>
      </c>
      <c r="N143" s="75" t="str">
        <f t="shared" si="3"/>
        <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8</v>
      </c>
      <c r="B161" s="51"/>
      <c r="C161" s="76" t="s">
        <v>249</v>
      </c>
      <c r="D161" s="76" t="s">
        <v>270</v>
      </c>
      <c r="E161" s="76" t="s">
        <v>251</v>
      </c>
      <c r="F161" s="76" t="s">
        <v>271</v>
      </c>
      <c r="G161" s="77">
        <v>10</v>
      </c>
      <c r="H161" s="76"/>
      <c r="I161" s="76" t="s">
        <v>249</v>
      </c>
      <c r="J161" s="76" t="s">
        <v>270</v>
      </c>
      <c r="K161" s="76" t="s">
        <v>251</v>
      </c>
      <c r="L161" s="51" t="s">
        <v>271</v>
      </c>
      <c r="R161" s="206"/>
      <c r="S161" s="206"/>
    </row>
    <row r="162" spans="1:19" s="46" customFormat="1">
      <c r="A162" s="47">
        <v>1</v>
      </c>
      <c r="B162" s="51" t="s">
        <v>157</v>
      </c>
      <c r="C162" s="51">
        <v>0</v>
      </c>
      <c r="D162" s="51">
        <v>0.47390616829698773</v>
      </c>
      <c r="E162" s="51">
        <v>0</v>
      </c>
      <c r="F162" s="47">
        <v>12153634</v>
      </c>
      <c r="G162" s="47">
        <v>1</v>
      </c>
      <c r="H162" s="51" t="s">
        <v>157</v>
      </c>
      <c r="I162" s="51">
        <v>0</v>
      </c>
      <c r="J162" s="51">
        <v>0.34021375973560669</v>
      </c>
      <c r="K162" s="51">
        <v>0</v>
      </c>
      <c r="L162" s="47">
        <v>12153634</v>
      </c>
      <c r="R162" s="206"/>
      <c r="S162" s="206"/>
    </row>
    <row r="163" spans="1:19" s="46" customFormat="1">
      <c r="A163" s="47">
        <v>2</v>
      </c>
      <c r="B163" s="51" t="s">
        <v>329</v>
      </c>
      <c r="C163" s="51">
        <v>0</v>
      </c>
      <c r="D163" s="51">
        <v>0.21789408902571958</v>
      </c>
      <c r="E163" s="51">
        <v>0</v>
      </c>
      <c r="F163" s="47">
        <v>3050596</v>
      </c>
      <c r="G163" s="47">
        <v>2</v>
      </c>
      <c r="H163" s="51" t="s">
        <v>241</v>
      </c>
      <c r="I163" s="51">
        <v>0</v>
      </c>
      <c r="J163" s="51">
        <v>0.25422216873279785</v>
      </c>
      <c r="K163" s="51">
        <v>0</v>
      </c>
      <c r="L163" s="47">
        <v>553960</v>
      </c>
      <c r="N163" s="46" t="s">
        <v>272</v>
      </c>
      <c r="R163" s="206"/>
      <c r="S163" s="206"/>
    </row>
    <row r="164" spans="1:19" s="46" customFormat="1">
      <c r="A164" s="47">
        <v>3</v>
      </c>
      <c r="B164" s="51" t="s">
        <v>241</v>
      </c>
      <c r="C164" s="51">
        <v>0</v>
      </c>
      <c r="D164" s="51">
        <v>0.15037030751870414</v>
      </c>
      <c r="E164" s="51">
        <v>0</v>
      </c>
      <c r="F164" s="47">
        <v>553960</v>
      </c>
      <c r="G164" s="47">
        <v>3</v>
      </c>
      <c r="H164" s="51" t="s">
        <v>329</v>
      </c>
      <c r="I164" s="51">
        <v>0</v>
      </c>
      <c r="J164" s="51">
        <v>0.18845013149977791</v>
      </c>
      <c r="K164" s="51">
        <v>0</v>
      </c>
      <c r="L164" s="47">
        <v>3050596</v>
      </c>
      <c r="N164" s="46" t="s">
        <v>273</v>
      </c>
      <c r="R164" s="206"/>
      <c r="S164" s="206"/>
    </row>
    <row r="165" spans="1:19" s="46" customFormat="1">
      <c r="A165" s="47">
        <v>4</v>
      </c>
      <c r="B165" s="51" t="s">
        <v>165</v>
      </c>
      <c r="C165" s="51">
        <v>0</v>
      </c>
      <c r="D165" s="51">
        <v>5.2543193970470178E-2</v>
      </c>
      <c r="E165" s="51">
        <v>0</v>
      </c>
      <c r="F165" s="47">
        <v>1692097</v>
      </c>
      <c r="G165" s="47">
        <v>4</v>
      </c>
      <c r="H165" s="51" t="s">
        <v>165</v>
      </c>
      <c r="I165" s="51">
        <v>0</v>
      </c>
      <c r="J165" s="51">
        <v>7.8242774073347204E-2</v>
      </c>
      <c r="K165" s="51">
        <v>0</v>
      </c>
      <c r="L165" s="47">
        <v>1692097</v>
      </c>
      <c r="R165" s="206"/>
      <c r="S165" s="206"/>
    </row>
    <row r="166" spans="1:19" s="46" customFormat="1">
      <c r="A166" s="47">
        <v>5</v>
      </c>
      <c r="B166" s="51" t="s">
        <v>345</v>
      </c>
      <c r="C166" s="51">
        <v>0</v>
      </c>
      <c r="D166" s="51">
        <v>3.5924779156253715E-2</v>
      </c>
      <c r="E166" s="51">
        <v>0</v>
      </c>
      <c r="F166" s="47">
        <v>11115023</v>
      </c>
      <c r="G166" s="47">
        <v>5</v>
      </c>
      <c r="H166" s="51" t="s">
        <v>310</v>
      </c>
      <c r="I166" s="51">
        <v>0</v>
      </c>
      <c r="J166" s="51">
        <v>3.721283059433747E-2</v>
      </c>
      <c r="K166" s="51">
        <v>0</v>
      </c>
      <c r="L166" s="47">
        <v>2480382</v>
      </c>
      <c r="R166" s="206"/>
      <c r="S166" s="206"/>
    </row>
    <row r="167" spans="1:19" s="46" customFormat="1">
      <c r="A167" s="47">
        <v>6</v>
      </c>
      <c r="B167" s="51" t="s">
        <v>168</v>
      </c>
      <c r="C167" s="51">
        <v>0</v>
      </c>
      <c r="D167" s="51">
        <v>0</v>
      </c>
      <c r="E167" s="51">
        <v>0</v>
      </c>
      <c r="F167" s="47">
        <v>3689192</v>
      </c>
      <c r="G167" s="47">
        <v>6</v>
      </c>
      <c r="H167" s="51" t="s">
        <v>168</v>
      </c>
      <c r="I167" s="51">
        <v>0</v>
      </c>
      <c r="J167" s="51">
        <v>0</v>
      </c>
      <c r="K167" s="51">
        <v>0</v>
      </c>
      <c r="L167" s="47">
        <v>3689192</v>
      </c>
      <c r="R167" s="206"/>
      <c r="S167" s="206"/>
    </row>
    <row r="168" spans="1:19" s="46" customFormat="1">
      <c r="A168" s="47">
        <v>7</v>
      </c>
      <c r="B168" s="51" t="s">
        <v>245</v>
      </c>
      <c r="C168" s="51">
        <v>0</v>
      </c>
      <c r="D168" s="51">
        <v>6.9361462031864662E-2</v>
      </c>
      <c r="E168" s="51">
        <v>0</v>
      </c>
      <c r="F168" s="47">
        <v>5920853</v>
      </c>
      <c r="G168" s="47">
        <v>7</v>
      </c>
      <c r="H168" s="51" t="s">
        <v>169</v>
      </c>
      <c r="I168" s="51">
        <v>0</v>
      </c>
      <c r="J168" s="51">
        <v>0</v>
      </c>
      <c r="K168" s="51">
        <v>0</v>
      </c>
      <c r="L168" s="47">
        <v>7434864</v>
      </c>
      <c r="R168" s="206"/>
      <c r="S168" s="206"/>
    </row>
    <row r="169" spans="1:19" s="46" customFormat="1">
      <c r="A169" s="47">
        <v>8</v>
      </c>
      <c r="B169" s="51"/>
      <c r="C169" s="51">
        <v>0</v>
      </c>
      <c r="D169" s="51">
        <v>0</v>
      </c>
      <c r="E169" s="51">
        <v>0</v>
      </c>
      <c r="F169" s="47">
        <v>2480382</v>
      </c>
      <c r="G169" s="47">
        <v>8</v>
      </c>
      <c r="H169" s="51" t="s">
        <v>345</v>
      </c>
      <c r="I169" s="51">
        <v>0</v>
      </c>
      <c r="J169" s="51">
        <v>0</v>
      </c>
      <c r="K169" s="51">
        <v>0</v>
      </c>
      <c r="L169" s="47">
        <v>11115023</v>
      </c>
      <c r="R169" s="206"/>
      <c r="S169" s="206"/>
    </row>
    <row r="170" spans="1:19" s="46" customFormat="1">
      <c r="A170" s="47">
        <v>9</v>
      </c>
      <c r="B170" s="51"/>
      <c r="C170" s="51">
        <v>0</v>
      </c>
      <c r="D170" s="51">
        <v>0</v>
      </c>
      <c r="E170" s="51">
        <v>0</v>
      </c>
      <c r="F170" s="47">
        <v>2480382</v>
      </c>
      <c r="G170" s="47">
        <v>9</v>
      </c>
      <c r="H170" s="51" t="s">
        <v>245</v>
      </c>
      <c r="I170" s="51">
        <v>0</v>
      </c>
      <c r="J170" s="51">
        <v>0.10165833536413293</v>
      </c>
      <c r="K170" s="51">
        <v>0</v>
      </c>
      <c r="L170" s="47">
        <v>5920853</v>
      </c>
      <c r="R170" s="206"/>
      <c r="S170" s="206"/>
    </row>
    <row r="171" spans="1:19" s="46" customFormat="1">
      <c r="A171" s="47">
        <v>10</v>
      </c>
      <c r="B171" s="51"/>
      <c r="C171" s="51">
        <v>0</v>
      </c>
      <c r="D171" s="51">
        <v>0</v>
      </c>
      <c r="E171" s="51">
        <v>0</v>
      </c>
      <c r="F171" s="47">
        <v>2480382</v>
      </c>
      <c r="G171" s="47">
        <v>10</v>
      </c>
      <c r="H171" s="51"/>
      <c r="I171" s="51">
        <v>0</v>
      </c>
      <c r="J171" s="51">
        <v>0</v>
      </c>
      <c r="K171" s="51">
        <v>0</v>
      </c>
      <c r="L171" s="47">
        <v>2480382</v>
      </c>
      <c r="R171" s="206"/>
      <c r="S171" s="206"/>
    </row>
    <row r="172" spans="1:19" s="46" customFormat="1">
      <c r="A172" s="47">
        <v>11</v>
      </c>
      <c r="B172" s="51"/>
      <c r="C172" s="51">
        <v>0</v>
      </c>
      <c r="D172" s="51">
        <v>0</v>
      </c>
      <c r="E172" s="51">
        <v>0</v>
      </c>
      <c r="F172" s="47">
        <v>2480382</v>
      </c>
      <c r="G172" s="47">
        <v>11</v>
      </c>
      <c r="H172" s="51"/>
      <c r="I172" s="51">
        <v>0</v>
      </c>
      <c r="J172" s="51">
        <v>0</v>
      </c>
      <c r="K172" s="51">
        <v>0</v>
      </c>
      <c r="L172" s="47">
        <v>2480382</v>
      </c>
      <c r="R172" s="206"/>
      <c r="S172" s="206"/>
    </row>
    <row r="173" spans="1:19" s="46" customFormat="1">
      <c r="A173" s="47">
        <v>12</v>
      </c>
      <c r="B173" s="51"/>
      <c r="C173" s="51">
        <v>0</v>
      </c>
      <c r="D173" s="51">
        <v>0</v>
      </c>
      <c r="E173" s="51">
        <v>0</v>
      </c>
      <c r="F173" s="47">
        <v>2480382</v>
      </c>
      <c r="G173" s="47">
        <v>12</v>
      </c>
      <c r="H173" s="51"/>
      <c r="I173" s="51">
        <v>0</v>
      </c>
      <c r="J173" s="51">
        <v>0</v>
      </c>
      <c r="K173" s="51">
        <v>0</v>
      </c>
      <c r="L173" s="47">
        <v>2480382</v>
      </c>
      <c r="R173" s="206"/>
      <c r="S173" s="206"/>
    </row>
    <row r="174" spans="1:19" s="46" customFormat="1">
      <c r="A174" s="47">
        <v>13</v>
      </c>
      <c r="B174" s="51"/>
      <c r="C174" s="51">
        <v>0</v>
      </c>
      <c r="D174" s="51">
        <v>0</v>
      </c>
      <c r="E174" s="51">
        <v>0</v>
      </c>
      <c r="F174" s="47">
        <v>2480382</v>
      </c>
      <c r="G174" s="47">
        <v>13</v>
      </c>
      <c r="H174" s="51"/>
      <c r="I174" s="51">
        <v>0</v>
      </c>
      <c r="J174" s="51">
        <v>0</v>
      </c>
      <c r="K174" s="51">
        <v>0</v>
      </c>
      <c r="L174" s="47">
        <v>2480382</v>
      </c>
      <c r="R174" s="206"/>
      <c r="S174" s="206"/>
    </row>
    <row r="175" spans="1:19" s="46" customFormat="1">
      <c r="A175" s="47">
        <v>14</v>
      </c>
      <c r="B175" s="51"/>
      <c r="C175" s="51">
        <v>0</v>
      </c>
      <c r="D175" s="51">
        <v>0</v>
      </c>
      <c r="E175" s="51">
        <v>0</v>
      </c>
      <c r="F175" s="47">
        <v>2480382</v>
      </c>
      <c r="G175" s="47">
        <v>14</v>
      </c>
      <c r="H175" s="51"/>
      <c r="I175" s="51">
        <v>0</v>
      </c>
      <c r="J175" s="51">
        <v>0</v>
      </c>
      <c r="K175" s="51">
        <v>0</v>
      </c>
      <c r="L175" s="47">
        <v>2480382</v>
      </c>
      <c r="R175" s="206"/>
      <c r="S175" s="206"/>
    </row>
    <row r="176" spans="1:19" s="46" customFormat="1">
      <c r="A176" s="47">
        <v>15</v>
      </c>
      <c r="B176" s="51"/>
      <c r="C176" s="51">
        <v>0</v>
      </c>
      <c r="D176" s="51">
        <v>0</v>
      </c>
      <c r="E176" s="51">
        <v>0</v>
      </c>
      <c r="F176" s="47">
        <v>2480382</v>
      </c>
      <c r="G176" s="47">
        <v>15</v>
      </c>
      <c r="H176" s="51"/>
      <c r="I176" s="51">
        <v>0</v>
      </c>
      <c r="J176" s="51">
        <v>0</v>
      </c>
      <c r="K176" s="51">
        <v>0</v>
      </c>
      <c r="L176" s="47">
        <v>2480382</v>
      </c>
      <c r="R176" s="206"/>
      <c r="S176" s="206"/>
    </row>
    <row r="177" spans="1:19" s="46" customFormat="1">
      <c r="A177" s="47">
        <v>16</v>
      </c>
      <c r="B177" s="51"/>
      <c r="C177" s="51">
        <v>0</v>
      </c>
      <c r="D177" s="51">
        <v>0</v>
      </c>
      <c r="E177" s="51">
        <v>0</v>
      </c>
      <c r="F177" s="47">
        <v>2480382</v>
      </c>
      <c r="G177" s="47">
        <v>16</v>
      </c>
      <c r="H177" s="51"/>
      <c r="I177" s="51">
        <v>0</v>
      </c>
      <c r="J177" s="51">
        <v>0</v>
      </c>
      <c r="K177" s="51">
        <v>0</v>
      </c>
      <c r="L177" s="47">
        <v>2480382</v>
      </c>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DBDD5090-532D-4849-8FDD-C94CD61D5E5B}">
      <formula1>$C$112:$C$113</formula1>
    </dataValidation>
  </dataValidations>
  <hyperlinks>
    <hyperlink ref="O1:P1" location="Home_page" display="Back to home page" xr:uid="{F4EF2F55-5886-448F-9393-EEBEA1D7F17A}"/>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83E6E1BF-3025-4B59-9DC8-F266F5F9D9A9}">
          <x14:colorSeries rgb="FF323232"/>
          <x14:colorNegative rgb="FFD00000"/>
          <x14:colorAxis rgb="FF000000"/>
          <x14:colorMarkers rgb="FFD00000"/>
          <x14:colorFirst rgb="FFD00000"/>
          <x14:colorLast rgb="FFD00000"/>
          <x14:colorHigh rgb="FFD00000"/>
          <x14:colorLow rgb="FFD00000"/>
          <x14:sparklines>
            <x14:sparkline>
              <xm:f>'NSWOS demersal seiners'!D3:N3</xm:f>
              <xm:sqref>C3</xm:sqref>
            </x14:sparkline>
            <x14:sparkline>
              <xm:f>'NSWOS demersal seiners'!D4:N4</xm:f>
              <xm:sqref>C4</xm:sqref>
            </x14:sparkline>
            <x14:sparkline>
              <xm:f>'NSWOS demersal seiners'!D5:N5</xm:f>
              <xm:sqref>C5</xm:sqref>
            </x14:sparkline>
            <x14:sparkline>
              <xm:f>'NSWOS demersal seiners'!D6:N6</xm:f>
              <xm:sqref>C6</xm:sqref>
            </x14:sparkline>
            <x14:sparkline>
              <xm:f>'NSWOS demersal seiners'!D7:N7</xm:f>
              <xm:sqref>C7</xm:sqref>
            </x14:sparkline>
            <x14:sparkline>
              <xm:f>'NSWOS demersal seiners'!D8:N8</xm:f>
              <xm:sqref>C8</xm:sqref>
            </x14:sparkline>
            <x14:sparkline>
              <xm:f>'NSWOS demersal seiners'!D9:N9</xm:f>
              <xm:sqref>C9</xm:sqref>
            </x14:sparkline>
            <x14:sparkline>
              <xm:f>'NSWOS demersal seiners'!D10:N10</xm:f>
              <xm:sqref>C10</xm:sqref>
            </x14:sparkline>
            <x14:sparkline>
              <xm:f>'NSWOS demersal seiners'!D11:N11</xm:f>
              <xm:sqref>C11</xm:sqref>
            </x14:sparkline>
            <x14:sparkline>
              <xm:f>'NSWOS demersal seiners'!D12:N12</xm:f>
              <xm:sqref>C12</xm:sqref>
            </x14:sparkline>
            <x14:sparkline>
              <xm:f>'NSWOS demersal seiners'!D13:N13</xm:f>
              <xm:sqref>C13</xm:sqref>
            </x14:sparkline>
            <x14:sparkline>
              <xm:f>'NSWOS demersal seiners'!D14:N14</xm:f>
              <xm:sqref>C14</xm:sqref>
            </x14:sparkline>
            <x14:sparkline>
              <xm:f>'NSWOS demersal seiners'!D15:N15</xm:f>
              <xm:sqref>C15</xm:sqref>
            </x14:sparkline>
            <x14:sparkline>
              <xm:f>'NSWOS demersal seiners'!D16:N16</xm:f>
              <xm:sqref>C16</xm:sqref>
            </x14:sparkline>
            <x14:sparkline>
              <xm:f>'NSWOS demersal seiners'!D17:N17</xm:f>
              <xm:sqref>C17</xm:sqref>
            </x14:sparkline>
            <x14:sparkline>
              <xm:f>'NSWOS demersal seiners'!D18:N18</xm:f>
              <xm:sqref>C18</xm:sqref>
            </x14:sparkline>
            <x14:sparkline>
              <xm:f>'NSWOS demersal seiners'!D19:N19</xm:f>
              <xm:sqref>C19</xm:sqref>
            </x14:sparkline>
            <x14:sparkline>
              <xm:f>'NSWOS demersal seiners'!D20:N20</xm:f>
              <xm:sqref>C20</xm:sqref>
            </x14:sparkline>
            <x14:sparkline>
              <xm:f>'NSWOS demersal seiners'!D21:N21</xm:f>
              <xm:sqref>C21</xm:sqref>
            </x14:sparkline>
            <x14:sparkline>
              <xm:f>'NSWOS demersal seiners'!D22:N22</xm:f>
              <xm:sqref>C22</xm:sqref>
            </x14:sparkline>
            <x14:sparkline>
              <xm:f>'NSWOS demersal seiners'!D23:N23</xm:f>
              <xm:sqref>C23</xm:sqref>
            </x14:sparkline>
            <x14:sparkline>
              <xm:f>'NSWOS demersal seiners'!D24:N24</xm:f>
              <xm:sqref>C24</xm:sqref>
            </x14:sparkline>
            <x14:sparkline>
              <xm:f>'NSWOS demersal seiners'!D25:N25</xm:f>
              <xm:sqref>C25</xm:sqref>
            </x14:sparkline>
            <x14:sparkline>
              <xm:f>'NSWOS demersal seiners'!D26:N26</xm:f>
              <xm:sqref>C26</xm:sqref>
            </x14:sparkline>
            <x14:sparkline>
              <xm:f>'NSWOS demersal seiners'!D27:N27</xm:f>
              <xm:sqref>C27</xm:sqref>
            </x14:sparkline>
            <x14:sparkline>
              <xm:f>'NSWOS demersal seiners'!D28:N28</xm:f>
              <xm:sqref>C28</xm:sqref>
            </x14:sparkline>
            <x14:sparkline>
              <xm:f>'NSWOS demersal seiners'!D29:N29</xm:f>
              <xm:sqref>C29</xm:sqref>
            </x14:sparkline>
            <x14:sparkline>
              <xm:f>'NSWOS demersal seiners'!D30:N30</xm:f>
              <xm:sqref>C30</xm:sqref>
            </x14:sparkline>
            <x14:sparkline>
              <xm:f>'NSWOS demersal seiners'!D31:N31</xm:f>
              <xm:sqref>C31</xm:sqref>
            </x14:sparkline>
            <x14:sparkline>
              <xm:f>'NSWOS demersal seiners'!D32:N32</xm:f>
              <xm:sqref>C32</xm:sqref>
            </x14:sparkline>
            <x14:sparkline>
              <xm:f>'NSWOS demersal seiners'!D33:N33</xm:f>
              <xm:sqref>C33</xm:sqref>
            </x14:sparkline>
            <x14:sparkline>
              <xm:f>'NSWOS demersal seiners'!D34:N34</xm:f>
              <xm:sqref>C34</xm:sqref>
            </x14:sparkline>
            <x14:sparkline>
              <xm:f>'NSWOS demersal seiners'!D35:N35</xm:f>
              <xm:sqref>C35</xm:sqref>
            </x14:sparkline>
            <x14:sparkline>
              <xm:f>'NSWOS demersal seiners'!D36:N36</xm:f>
              <xm:sqref>C36</xm:sqref>
            </x14:sparkline>
            <x14:sparkline>
              <xm:f>'NSWOS demersal seiners'!D37:N37</xm:f>
              <xm:sqref>C37</xm:sqref>
            </x14:sparkline>
            <x14:sparkline>
              <xm:f>'NSWOS demersal seiners'!D38:N38</xm:f>
              <xm:sqref>C38</xm:sqref>
            </x14:sparkline>
            <x14:sparkline>
              <xm:f>'NSWOS demersal seiners'!D39:N39</xm:f>
              <xm:sqref>C39</xm:sqref>
            </x14:sparkline>
            <x14:sparkline>
              <xm:f>'NSWOS demersal seiners'!D40:N40</xm:f>
              <xm:sqref>C40</xm:sqref>
            </x14:sparkline>
            <x14:sparkline>
              <xm:f>'NSWOS demersal seiners'!D41:N41</xm:f>
              <xm:sqref>C41</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A2CC4-E1F3-487D-9B92-FC33C64C6C07}">
  <sheetPr codeName="Feuil24">
    <pageSetUpPr fitToPage="1"/>
  </sheetPr>
  <dimension ref="A1:S192"/>
  <sheetViews>
    <sheetView topLeftCell="A43"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27</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37</v>
      </c>
      <c r="E3" s="27">
        <v>34</v>
      </c>
      <c r="F3" s="27">
        <v>36</v>
      </c>
      <c r="G3" s="27">
        <v>40</v>
      </c>
      <c r="H3" s="27">
        <v>34</v>
      </c>
      <c r="I3" s="27">
        <v>45</v>
      </c>
      <c r="J3" s="27">
        <v>33</v>
      </c>
      <c r="K3" s="27">
        <v>37</v>
      </c>
      <c r="L3" s="27">
        <v>46</v>
      </c>
      <c r="M3" s="27">
        <v>26</v>
      </c>
      <c r="N3" s="27">
        <v>41</v>
      </c>
      <c r="O3" s="28">
        <f t="shared" ref="O3:O41" si="0">IF(N3=0,"",IFERROR(IF(AND(N3&gt;0,D3&lt;0),"na",IF(AND(N3&lt;0,D3&lt;0),-1,1)*(N3-D3)/D3),""))</f>
        <v>0.10810810810810811</v>
      </c>
      <c r="P3" s="28">
        <f t="shared" ref="P3:P41" si="1">IF(N3=0,"",IFERROR(IF(AND(N3&gt;0,J3&lt;0),"na",IF(AND(N3&lt;0,J3&lt;0),-1,1)*(N3-J3)/J3),""))</f>
        <v>0.24242424242424243</v>
      </c>
      <c r="Q3" s="206"/>
    </row>
    <row r="4" spans="1:17" ht="18" customHeight="1">
      <c r="A4" s="172"/>
      <c r="B4" s="29" t="s">
        <v>184</v>
      </c>
      <c r="C4" s="30"/>
      <c r="D4" s="30">
        <v>16535</v>
      </c>
      <c r="E4" s="30">
        <v>15399</v>
      </c>
      <c r="F4" s="30">
        <v>16019</v>
      </c>
      <c r="G4" s="30">
        <v>17901</v>
      </c>
      <c r="H4" s="30">
        <v>15497</v>
      </c>
      <c r="I4" s="30">
        <v>20380</v>
      </c>
      <c r="J4" s="30">
        <v>14994</v>
      </c>
      <c r="K4" s="30">
        <v>17430</v>
      </c>
      <c r="L4" s="30">
        <v>21760</v>
      </c>
      <c r="M4" s="30">
        <v>12427</v>
      </c>
      <c r="N4" s="30">
        <v>19729</v>
      </c>
      <c r="O4" s="28">
        <f t="shared" si="0"/>
        <v>0.19316601149077714</v>
      </c>
      <c r="P4" s="28">
        <f t="shared" si="1"/>
        <v>0.31579298386021076</v>
      </c>
      <c r="Q4" s="206"/>
    </row>
    <row r="5" spans="1:17" ht="18" customHeight="1">
      <c r="A5" s="172"/>
      <c r="B5" s="29" t="s">
        <v>185</v>
      </c>
      <c r="C5" s="30"/>
      <c r="D5" s="30">
        <v>6017</v>
      </c>
      <c r="E5" s="30">
        <v>5781</v>
      </c>
      <c r="F5" s="30">
        <v>5874</v>
      </c>
      <c r="G5" s="30">
        <v>6621</v>
      </c>
      <c r="H5" s="30">
        <v>5846</v>
      </c>
      <c r="I5" s="30">
        <v>7413</v>
      </c>
      <c r="J5" s="30">
        <v>5656</v>
      </c>
      <c r="K5" s="30">
        <v>6356</v>
      </c>
      <c r="L5" s="30">
        <v>8063</v>
      </c>
      <c r="M5" s="30">
        <v>4605</v>
      </c>
      <c r="N5" s="30">
        <v>7495</v>
      </c>
      <c r="O5" s="28">
        <f t="shared" si="0"/>
        <v>0.2456373608110354</v>
      </c>
      <c r="P5" s="28">
        <f t="shared" si="1"/>
        <v>0.32514144271570017</v>
      </c>
      <c r="Q5" s="207"/>
    </row>
    <row r="6" spans="1:17" ht="18" customHeight="1">
      <c r="A6" s="172"/>
      <c r="B6" s="29" t="s">
        <v>186</v>
      </c>
      <c r="C6" s="30"/>
      <c r="D6" s="30">
        <v>12828.005859375</v>
      </c>
      <c r="E6" s="30">
        <v>11967.4189453125</v>
      </c>
      <c r="F6" s="30">
        <v>12482.3193359375</v>
      </c>
      <c r="G6" s="30">
        <v>14051.9130859375</v>
      </c>
      <c r="H6" s="30">
        <v>12076.6201171875</v>
      </c>
      <c r="I6" s="30">
        <v>15752.7666015625</v>
      </c>
      <c r="J6" s="30">
        <v>11656.8505859375</v>
      </c>
      <c r="K6" s="30">
        <v>13314.7919921875</v>
      </c>
      <c r="L6" s="30">
        <v>16585.21875</v>
      </c>
      <c r="M6" s="30">
        <v>9448.0546875</v>
      </c>
      <c r="N6" s="30">
        <v>15068.0751953125</v>
      </c>
      <c r="O6" s="28">
        <f t="shared" si="0"/>
        <v>0.17462334835935595</v>
      </c>
      <c r="P6" s="28">
        <f t="shared" si="1"/>
        <v>0.29263689915440849</v>
      </c>
      <c r="Q6" s="206"/>
    </row>
    <row r="7" spans="1:17" ht="18" customHeight="1">
      <c r="A7" s="172"/>
      <c r="B7" s="29" t="s">
        <v>187</v>
      </c>
      <c r="C7" s="30"/>
      <c r="D7" s="30">
        <v>12545.7099609375</v>
      </c>
      <c r="E7" s="30">
        <v>11164.7626953125</v>
      </c>
      <c r="F7" s="30">
        <v>11795.4365234375</v>
      </c>
      <c r="G7" s="30">
        <v>16381.5869140625</v>
      </c>
      <c r="H7" s="30">
        <v>14166.751953125</v>
      </c>
      <c r="I7" s="30">
        <v>16996.73828125</v>
      </c>
      <c r="J7" s="30">
        <v>15156.5732421875</v>
      </c>
      <c r="K7" s="30">
        <v>18255.943359375</v>
      </c>
      <c r="L7" s="30">
        <v>21255.25</v>
      </c>
      <c r="M7" s="30">
        <v>14345.38671875</v>
      </c>
      <c r="N7" s="30">
        <v>16844.87109375</v>
      </c>
      <c r="O7" s="28">
        <f t="shared" si="0"/>
        <v>0.34267978027536339</v>
      </c>
      <c r="P7" s="28">
        <f t="shared" si="1"/>
        <v>0.11139047227794305</v>
      </c>
      <c r="Q7" s="206"/>
    </row>
    <row r="8" spans="1:17" ht="18" customHeight="1">
      <c r="A8" s="172"/>
      <c r="B8" s="29" t="s">
        <v>188</v>
      </c>
      <c r="C8" s="31"/>
      <c r="D8" s="31">
        <f ca="1">29.14567*OFFSET(D$112,MATCH($N$1,$C$112:$C$113,0)-1,0)</f>
        <v>29.145669999999999</v>
      </c>
      <c r="E8" s="31">
        <f ca="1">29.031774*OFFSET(E$112,MATCH($N$1,$C$112:$C$113,0)-1,0)</f>
        <v>29.031773999999999</v>
      </c>
      <c r="F8" s="31">
        <f ca="1">26.226618*OFFSET(F$112,MATCH($N$1,$C$112:$C$113,0)-1,0)</f>
        <v>26.226617999999998</v>
      </c>
      <c r="G8" s="31">
        <f ca="1">31.407682*OFFSET(G$112,MATCH($N$1,$C$112:$C$113,0)-1,0)</f>
        <v>31.407682000000001</v>
      </c>
      <c r="H8" s="31">
        <f ca="1">30.625722*OFFSET(H$112,MATCH($N$1,$C$112:$C$113,0)-1,0)</f>
        <v>30.625722</v>
      </c>
      <c r="I8" s="31">
        <f ca="1">35.1451*OFFSET(I$112,MATCH($N$1,$C$112:$C$113,0)-1,0)</f>
        <v>35.145099999999999</v>
      </c>
      <c r="J8" s="31">
        <f ca="1">35.528496*OFFSET(J$112,MATCH($N$1,$C$112:$C$113,0)-1,0)</f>
        <v>35.528495999999997</v>
      </c>
      <c r="K8" s="31">
        <f ca="1">45.646228*OFFSET(K$112,MATCH($N$1,$C$112:$C$113,0)-1,0)</f>
        <v>45.646228000000001</v>
      </c>
      <c r="L8" s="31">
        <f ca="1">51.233272*OFFSET(L$112,MATCH($N$1,$C$112:$C$113,0)-1,0)</f>
        <v>51.233271999999999</v>
      </c>
      <c r="M8" s="31">
        <f ca="1">37.154844*OFFSET(M$112,MATCH($N$1,$C$112:$C$113,0)-1,0)</f>
        <v>37.154843999999997</v>
      </c>
      <c r="N8" s="31">
        <v>34.415951999999997</v>
      </c>
      <c r="O8" s="28">
        <f t="shared" ca="1" si="0"/>
        <v>0.18082555659211122</v>
      </c>
      <c r="P8" s="28">
        <f t="shared" ca="1" si="1"/>
        <v>-3.1314131619869297E-2</v>
      </c>
      <c r="Q8" s="206"/>
    </row>
    <row r="9" spans="1:17" ht="18" customHeight="1">
      <c r="A9" s="172"/>
      <c r="B9" s="29" t="s">
        <v>189</v>
      </c>
      <c r="C9" s="30"/>
      <c r="D9" s="30">
        <v>6489</v>
      </c>
      <c r="E9" s="30">
        <v>5405</v>
      </c>
      <c r="F9" s="30">
        <v>5565</v>
      </c>
      <c r="G9" s="30">
        <v>6917</v>
      </c>
      <c r="H9" s="30">
        <v>5861</v>
      </c>
      <c r="I9" s="30">
        <v>8131</v>
      </c>
      <c r="J9" s="30">
        <v>6294</v>
      </c>
      <c r="K9" s="30">
        <v>6671</v>
      </c>
      <c r="L9" s="30">
        <v>9179</v>
      </c>
      <c r="M9" s="30">
        <v>5571</v>
      </c>
      <c r="N9" s="30">
        <v>7244</v>
      </c>
      <c r="O9" s="28">
        <f t="shared" si="0"/>
        <v>0.11635074741870859</v>
      </c>
      <c r="P9" s="28">
        <f t="shared" si="1"/>
        <v>0.15093740069907849</v>
      </c>
      <c r="Q9" s="206"/>
    </row>
    <row r="10" spans="1:17" ht="18" customHeight="1">
      <c r="A10" s="172"/>
      <c r="B10" s="29" t="s">
        <v>190</v>
      </c>
      <c r="C10" s="30"/>
      <c r="D10" s="30">
        <v>279.05255126953125</v>
      </c>
      <c r="E10" s="30">
        <v>245.75563049316406</v>
      </c>
      <c r="F10" s="30">
        <v>304.24005126953125</v>
      </c>
      <c r="G10" s="30">
        <v>310.58856201171875</v>
      </c>
      <c r="H10" s="30">
        <v>199.1424560546875</v>
      </c>
      <c r="I10" s="30">
        <v>344.37814331054688</v>
      </c>
      <c r="J10" s="30">
        <v>241.70150756835938</v>
      </c>
      <c r="K10" s="30">
        <v>267.0367431640625</v>
      </c>
      <c r="L10" s="30">
        <v>483.32211303710938</v>
      </c>
      <c r="M10" s="30">
        <v>185.37614440917969</v>
      </c>
      <c r="N10" s="30">
        <v>227.6334228515625</v>
      </c>
      <c r="O10" s="32">
        <f t="shared" si="0"/>
        <v>-0.18426324426722065</v>
      </c>
      <c r="P10" s="32">
        <f t="shared" si="1"/>
        <v>-5.8204373064649012E-2</v>
      </c>
      <c r="Q10" s="206"/>
    </row>
    <row r="11" spans="1:17" ht="18" customHeight="1">
      <c r="A11" s="173" t="s">
        <v>191</v>
      </c>
      <c r="B11" s="33" t="s">
        <v>192</v>
      </c>
      <c r="C11" s="34"/>
      <c r="D11" s="34">
        <v>20.774053573608398</v>
      </c>
      <c r="E11" s="34">
        <v>20.772941589355469</v>
      </c>
      <c r="F11" s="34">
        <v>20.639165878295898</v>
      </c>
      <c r="G11" s="34">
        <v>20.848499298095703</v>
      </c>
      <c r="H11" s="34">
        <v>20.913824081420898</v>
      </c>
      <c r="I11" s="34">
        <v>20.840888977050781</v>
      </c>
      <c r="J11" s="34">
        <v>21.02787971496582</v>
      </c>
      <c r="K11" s="34">
        <v>20.951080322265625</v>
      </c>
      <c r="L11" s="34">
        <v>20.872825622558594</v>
      </c>
      <c r="M11" s="34">
        <v>20.781923294067383</v>
      </c>
      <c r="N11" s="34">
        <v>21.009267807006836</v>
      </c>
      <c r="O11" s="28">
        <f t="shared" si="0"/>
        <v>1.1322500568558099E-2</v>
      </c>
      <c r="P11" s="28">
        <f t="shared" si="1"/>
        <v>-8.8510625946457329E-4</v>
      </c>
      <c r="Q11" s="206"/>
    </row>
    <row r="12" spans="1:17" ht="18" customHeight="1">
      <c r="A12" s="174"/>
      <c r="B12" s="35" t="s">
        <v>184</v>
      </c>
      <c r="C12" s="30"/>
      <c r="D12" s="30">
        <v>446.89190673828125</v>
      </c>
      <c r="E12" s="30">
        <v>452.91177368164063</v>
      </c>
      <c r="F12" s="30">
        <v>444.97222900390625</v>
      </c>
      <c r="G12" s="30">
        <v>447.52499389648438</v>
      </c>
      <c r="H12" s="30">
        <v>455.79412841796875</v>
      </c>
      <c r="I12" s="30">
        <v>452.88888549804688</v>
      </c>
      <c r="J12" s="30">
        <v>454.3636474609375</v>
      </c>
      <c r="K12" s="30">
        <v>471.08108520507813</v>
      </c>
      <c r="L12" s="30">
        <v>473.04348754882813</v>
      </c>
      <c r="M12" s="30">
        <v>477.9615478515625</v>
      </c>
      <c r="N12" s="30">
        <v>481.19512939453125</v>
      </c>
      <c r="O12" s="28">
        <f t="shared" si="0"/>
        <v>7.6759552229571731E-2</v>
      </c>
      <c r="P12" s="28">
        <f t="shared" si="1"/>
        <v>5.9052879964171218E-2</v>
      </c>
      <c r="Q12" s="206"/>
    </row>
    <row r="13" spans="1:17" ht="18" customHeight="1">
      <c r="A13" s="174"/>
      <c r="B13" s="35" t="s">
        <v>185</v>
      </c>
      <c r="C13" s="30"/>
      <c r="D13" s="30">
        <v>162.62162780761719</v>
      </c>
      <c r="E13" s="30">
        <v>170.0294189453125</v>
      </c>
      <c r="F13" s="30">
        <v>163.16667175292969</v>
      </c>
      <c r="G13" s="30">
        <v>165.52499389648438</v>
      </c>
      <c r="H13" s="30">
        <v>171.94117736816406</v>
      </c>
      <c r="I13" s="30">
        <v>164.73333740234375</v>
      </c>
      <c r="J13" s="30">
        <v>171.39393615722656</v>
      </c>
      <c r="K13" s="30">
        <v>171.78378295898438</v>
      </c>
      <c r="L13" s="30">
        <v>175.28260803222656</v>
      </c>
      <c r="M13" s="30">
        <v>177.11538696289063</v>
      </c>
      <c r="N13" s="30">
        <v>182.80487060546875</v>
      </c>
      <c r="O13" s="28">
        <f t="shared" si="0"/>
        <v>0.12411167610330721</v>
      </c>
      <c r="P13" s="28">
        <f t="shared" si="1"/>
        <v>6.6577235485008504E-2</v>
      </c>
      <c r="Q13" s="206"/>
    </row>
    <row r="14" spans="1:17" ht="18" customHeight="1">
      <c r="A14" s="174"/>
      <c r="B14" s="35" t="s">
        <v>186</v>
      </c>
      <c r="C14" s="30"/>
      <c r="D14" s="30">
        <v>346.70285034179688</v>
      </c>
      <c r="E14" s="30">
        <v>351.98291015625</v>
      </c>
      <c r="F14" s="30">
        <v>346.73110961914063</v>
      </c>
      <c r="G14" s="30">
        <v>351.29782104492188</v>
      </c>
      <c r="H14" s="30">
        <v>355.1947021484375</v>
      </c>
      <c r="I14" s="30">
        <v>350.06146240234375</v>
      </c>
      <c r="J14" s="30">
        <v>353.23788452148438</v>
      </c>
      <c r="K14" s="30">
        <v>359.85922241210938</v>
      </c>
      <c r="L14" s="30">
        <v>360.5482177734375</v>
      </c>
      <c r="M14" s="30">
        <v>363.38671875</v>
      </c>
      <c r="N14" s="30">
        <v>367.5140380859375</v>
      </c>
      <c r="O14" s="28">
        <f t="shared" si="0"/>
        <v>6.0026007065196965E-2</v>
      </c>
      <c r="P14" s="28">
        <f t="shared" si="1"/>
        <v>4.0415125868484898E-2</v>
      </c>
      <c r="Q14" s="206"/>
    </row>
    <row r="15" spans="1:17" ht="18" customHeight="1">
      <c r="A15" s="174"/>
      <c r="B15" s="35" t="s">
        <v>187</v>
      </c>
      <c r="C15" s="31"/>
      <c r="D15" s="31">
        <v>339.0732421875</v>
      </c>
      <c r="E15" s="31">
        <v>328.3753662109375</v>
      </c>
      <c r="F15" s="31">
        <v>327.6510009765625</v>
      </c>
      <c r="G15" s="31">
        <v>409.5396728515625</v>
      </c>
      <c r="H15" s="31">
        <v>416.669189453125</v>
      </c>
      <c r="I15" s="31">
        <v>377.70529174804688</v>
      </c>
      <c r="J15" s="31">
        <v>459.29010009765625</v>
      </c>
      <c r="K15" s="31">
        <v>493.40386962890625</v>
      </c>
      <c r="L15" s="31">
        <v>462.07064819335938</v>
      </c>
      <c r="M15" s="31">
        <v>551.74566650390625</v>
      </c>
      <c r="N15" s="31">
        <v>410.85049438476563</v>
      </c>
      <c r="O15" s="28">
        <f t="shared" si="0"/>
        <v>0.21168657170999766</v>
      </c>
      <c r="P15" s="28">
        <f t="shared" si="1"/>
        <v>-0.10546625259850187</v>
      </c>
      <c r="Q15" s="206"/>
    </row>
    <row r="16" spans="1:17" ht="18" customHeight="1">
      <c r="A16" s="174"/>
      <c r="B16" s="35" t="s">
        <v>193</v>
      </c>
      <c r="C16" s="31"/>
      <c r="D16" s="31">
        <f ca="1">787.7208125*OFFSET(D$112,MATCH($N$1,$C$112:$C$113,0)-1,0)</f>
        <v>787.72081249999997</v>
      </c>
      <c r="E16" s="31">
        <f ca="1">853.8756875*OFFSET(E$112,MATCH($N$1,$C$112:$C$113,0)-1,0)</f>
        <v>853.87568750000003</v>
      </c>
      <c r="F16" s="31">
        <f ca="1">728.5171875*OFFSET(F$112,MATCH($N$1,$C$112:$C$113,0)-1,0)</f>
        <v>728.51718749999998</v>
      </c>
      <c r="G16" s="31">
        <f ca="1">785.1920625*OFFSET(G$112,MATCH($N$1,$C$112:$C$113,0)-1,0)</f>
        <v>785.19206250000002</v>
      </c>
      <c r="H16" s="31">
        <f ca="1">900.7565625*OFFSET(H$112,MATCH($N$1,$C$112:$C$113,0)-1,0)</f>
        <v>900.75656249999997</v>
      </c>
      <c r="I16" s="31">
        <f ca="1">781.0021875*OFFSET(I$112,MATCH($N$1,$C$112:$C$113,0)-1,0)</f>
        <v>781.00218749999999</v>
      </c>
      <c r="J16" s="31">
        <f ca="1">1076.621125*OFFSET(J$112,MATCH($N$1,$C$112:$C$113,0)-1,0)</f>
        <v>1076.6211249999999</v>
      </c>
      <c r="K16" s="31">
        <f ca="1">1233.68175*OFFSET(K$112,MATCH($N$1,$C$112:$C$113,0)-1,0)</f>
        <v>1233.68175</v>
      </c>
      <c r="L16" s="31">
        <f ca="1">1113.766875*OFFSET(L$112,MATCH($N$1,$C$112:$C$113,0)-1,0)</f>
        <v>1113.766875</v>
      </c>
      <c r="M16" s="31">
        <f ca="1">1429.0325*OFFSET(M$112,MATCH($N$1,$C$112:$C$113,0)-1,0)</f>
        <v>1429.0325</v>
      </c>
      <c r="N16" s="31">
        <v>839.41343749999999</v>
      </c>
      <c r="O16" s="28">
        <f t="shared" ca="1" si="0"/>
        <v>6.5623028082681292E-2</v>
      </c>
      <c r="P16" s="28">
        <f t="shared" ca="1" si="1"/>
        <v>-0.22032605713546624</v>
      </c>
      <c r="Q16" s="206"/>
    </row>
    <row r="17" spans="1:16" ht="18" customHeight="1">
      <c r="A17" s="174"/>
      <c r="B17" s="35" t="s">
        <v>189</v>
      </c>
      <c r="C17" s="30"/>
      <c r="D17" s="30">
        <v>175.37837219238281</v>
      </c>
      <c r="E17" s="30">
        <v>158.9705810546875</v>
      </c>
      <c r="F17" s="30">
        <v>154.58332824707031</v>
      </c>
      <c r="G17" s="30">
        <v>172.92500305175781</v>
      </c>
      <c r="H17" s="30">
        <v>172.38235473632813</v>
      </c>
      <c r="I17" s="30">
        <v>180.68888854980469</v>
      </c>
      <c r="J17" s="30">
        <v>190.72727966308594</v>
      </c>
      <c r="K17" s="30">
        <v>180.29730224609375</v>
      </c>
      <c r="L17" s="30">
        <v>199.54347229003906</v>
      </c>
      <c r="M17" s="30">
        <v>214.26922607421875</v>
      </c>
      <c r="N17" s="30">
        <v>176.68292236328125</v>
      </c>
      <c r="O17" s="28">
        <f t="shared" si="0"/>
        <v>7.4384894476463717E-3</v>
      </c>
      <c r="P17" s="28">
        <f t="shared" si="1"/>
        <v>-7.3635807759716523E-2</v>
      </c>
    </row>
    <row r="18" spans="1:16" ht="18" customHeight="1">
      <c r="A18" s="174"/>
      <c r="B18" s="35" t="s">
        <v>194</v>
      </c>
      <c r="C18" s="30"/>
      <c r="D18" s="30">
        <v>18.189189910888672</v>
      </c>
      <c r="E18" s="30">
        <v>16.735294342041016</v>
      </c>
      <c r="F18" s="30">
        <v>17.388889312744141</v>
      </c>
      <c r="G18" s="30">
        <v>18</v>
      </c>
      <c r="H18" s="30">
        <v>18.176469802856445</v>
      </c>
      <c r="I18" s="30">
        <v>20.511110305786133</v>
      </c>
      <c r="J18" s="30">
        <v>20.818181991577148</v>
      </c>
      <c r="K18" s="30">
        <v>19.891891479492188</v>
      </c>
      <c r="L18" s="30">
        <v>20.304347991943359</v>
      </c>
      <c r="M18" s="30">
        <v>19.923076629638672</v>
      </c>
      <c r="N18" s="30">
        <v>18.902439117431641</v>
      </c>
      <c r="O18" s="28">
        <f t="shared" si="0"/>
        <v>3.9212807719160345E-2</v>
      </c>
      <c r="P18" s="28">
        <f t="shared" si="1"/>
        <v>-9.2022582707779202E-2</v>
      </c>
    </row>
    <row r="19" spans="1:16" ht="18" customHeight="1">
      <c r="A19" s="174"/>
      <c r="B19" s="35" t="s">
        <v>195</v>
      </c>
      <c r="C19" s="36"/>
      <c r="D19" s="36">
        <v>1.933381199836731</v>
      </c>
      <c r="E19" s="36">
        <v>2.065636157989502</v>
      </c>
      <c r="F19" s="36">
        <v>2.1195752620697021</v>
      </c>
      <c r="G19" s="36">
        <v>2.3683080673217773</v>
      </c>
      <c r="H19" s="36">
        <v>2.4171221256256104</v>
      </c>
      <c r="I19" s="36">
        <v>2.090362548828125</v>
      </c>
      <c r="J19" s="36">
        <v>2.4080986976623535</v>
      </c>
      <c r="K19" s="36">
        <v>2.7366125583648682</v>
      </c>
      <c r="L19" s="36">
        <v>2.3156390190124512</v>
      </c>
      <c r="M19" s="36">
        <v>2.5750112533569336</v>
      </c>
      <c r="N19" s="36">
        <v>2.3253548145294189</v>
      </c>
      <c r="O19" s="28">
        <f t="shared" si="0"/>
        <v>0.20273995357241972</v>
      </c>
      <c r="P19" s="28">
        <f t="shared" si="1"/>
        <v>-3.4360669358468432E-2</v>
      </c>
    </row>
    <row r="20" spans="1:16" ht="18" customHeight="1">
      <c r="A20" s="175"/>
      <c r="B20" s="37" t="s">
        <v>196</v>
      </c>
      <c r="C20" s="38"/>
      <c r="D20" s="38">
        <f ca="1">2323*OFFSET(D$112,MATCH($N$1,$C$112:$C$113,0)-1,0)</f>
        <v>2323</v>
      </c>
      <c r="E20" s="38">
        <f ca="1">2600*OFFSET(E$112,MATCH($N$1,$C$112:$C$113,0)-1,0)</f>
        <v>2600</v>
      </c>
      <c r="F20" s="38">
        <f ca="1">2223*OFFSET(F$112,MATCH($N$1,$C$112:$C$113,0)-1,0)</f>
        <v>2223</v>
      </c>
      <c r="G20" s="38">
        <f ca="1">1917*OFFSET(G$112,MATCH($N$1,$C$112:$C$113,0)-1,0)</f>
        <v>1917</v>
      </c>
      <c r="H20" s="38">
        <f ca="1">2162*OFFSET(H$112,MATCH($N$1,$C$112:$C$113,0)-1,0)</f>
        <v>2162</v>
      </c>
      <c r="I20" s="38">
        <f ca="1">2068*OFFSET(I$112,MATCH($N$1,$C$112:$C$113,0)-1,0)</f>
        <v>2068</v>
      </c>
      <c r="J20" s="38">
        <f ca="1">2344*OFFSET(J$112,MATCH($N$1,$C$112:$C$113,0)-1,0)</f>
        <v>2344</v>
      </c>
      <c r="K20" s="38">
        <f ca="1">2500*OFFSET(K$112,MATCH($N$1,$C$112:$C$113,0)-1,0)</f>
        <v>2500</v>
      </c>
      <c r="L20" s="38">
        <f ca="1">2410*OFFSET(L$112,MATCH($N$1,$C$112:$C$113,0)-1,0)</f>
        <v>2410</v>
      </c>
      <c r="M20" s="38">
        <f ca="1">2590*OFFSET(M$112,MATCH($N$1,$C$112:$C$113,0)-1,0)</f>
        <v>2590</v>
      </c>
      <c r="N20" s="38">
        <v>2043</v>
      </c>
      <c r="O20" s="32">
        <f t="shared" ca="1" si="0"/>
        <v>-0.12053379250968575</v>
      </c>
      <c r="P20" s="32">
        <f t="shared" ca="1" si="1"/>
        <v>-0.12841296928327645</v>
      </c>
    </row>
    <row r="21" spans="1:16" ht="18" customHeight="1">
      <c r="A21" s="176" t="s">
        <v>197</v>
      </c>
      <c r="B21" s="33" t="s">
        <v>198</v>
      </c>
      <c r="C21" s="39"/>
      <c r="D21" s="39">
        <v>4.2124677135255526</v>
      </c>
      <c r="E21" s="39">
        <v>4.4370252703888431</v>
      </c>
      <c r="F21" s="39">
        <v>4.611252551815026</v>
      </c>
      <c r="G21" s="39">
        <v>5.1767431474741032</v>
      </c>
      <c r="H21" s="39">
        <v>5.2355570425538271</v>
      </c>
      <c r="I21" s="39">
        <v>4.5100956814444384</v>
      </c>
      <c r="J21" s="39">
        <v>5.2149893381212475</v>
      </c>
      <c r="K21" s="39">
        <v>5.6556177573875503</v>
      </c>
      <c r="L21" s="39">
        <v>4.8257298778551494</v>
      </c>
      <c r="M21" s="39">
        <v>5.354059145631795</v>
      </c>
      <c r="N21" s="39">
        <v>4.7199501483194943</v>
      </c>
      <c r="O21" s="28">
        <f t="shared" si="0"/>
        <v>0.12047153101363785</v>
      </c>
      <c r="P21" s="28">
        <f t="shared" si="1"/>
        <v>-9.4926213210647911E-2</v>
      </c>
    </row>
    <row r="22" spans="1:16" ht="18" customHeight="1">
      <c r="A22" s="176"/>
      <c r="B22" s="35" t="s">
        <v>199</v>
      </c>
      <c r="C22" s="36"/>
      <c r="D22" s="36">
        <f ca="1">9.78622927754779*OFFSET(D$112,MATCH($N$1,$C$112:$C$113,0)-1,0)</f>
        <v>9.7862292775477897</v>
      </c>
      <c r="E22" s="36">
        <f ca="1">11.5376133323424*OFFSET(E$112,MATCH($N$1,$C$112:$C$113,0)-1,0)</f>
        <v>11.537613332342399</v>
      </c>
      <c r="F22" s="36">
        <f ca="1">10.2529115732529*OFFSET(F$112,MATCH($N$1,$C$112:$C$113,0)-1,0)</f>
        <v>10.2529115732529</v>
      </c>
      <c r="G22" s="36">
        <f ca="1">9.92513765686187*OFFSET(G$112,MATCH($N$1,$C$112:$C$113,0)-1,0)</f>
        <v>9.9251376568618692</v>
      </c>
      <c r="H22" s="36">
        <f ca="1">11.3182411462031*OFFSET(H$112,MATCH($N$1,$C$112:$C$113,0)-1,0)</f>
        <v>11.3182411462031</v>
      </c>
      <c r="I22" s="36">
        <f ca="1">9.32577506854754*OFFSET(I$112,MATCH($N$1,$C$112:$C$113,0)-1,0)</f>
        <v>9.3257750685475393</v>
      </c>
      <c r="J22" s="36">
        <f ca="1">12.2244474393794*OFFSET(J$112,MATCH($N$1,$C$112:$C$113,0)-1,0)</f>
        <v>12.2244474393794</v>
      </c>
      <c r="K22" s="36">
        <f ca="1">14.1410168053862*OFFSET(K$112,MATCH($N$1,$C$112:$C$113,0)-1,0)</f>
        <v>14.141016805386201</v>
      </c>
      <c r="L22" s="36">
        <f ca="1">11.6318534983069*OFFSET(L$112,MATCH($N$1,$C$112:$C$113,0)-1,0)</f>
        <v>11.631853498306899</v>
      </c>
      <c r="M22" s="36">
        <f ca="1">13.86712210086*OFFSET(M$112,MATCH($N$1,$C$112:$C$113,0)-1,0)</f>
        <v>13.86712210086</v>
      </c>
      <c r="N22" s="36">
        <v>9.6433852045436712</v>
      </c>
      <c r="O22" s="28">
        <f t="shared" ca="1" si="0"/>
        <v>-1.4596436375330053E-2</v>
      </c>
      <c r="P22" s="28">
        <f t="shared" ca="1" si="1"/>
        <v>-0.21113937849830225</v>
      </c>
    </row>
    <row r="23" spans="1:16" ht="18" customHeight="1">
      <c r="A23" s="176"/>
      <c r="B23" s="35" t="s">
        <v>154</v>
      </c>
      <c r="C23" s="36"/>
      <c r="D23" s="36">
        <f ca="1">8.62602571309772*OFFSET(D$112,MATCH($N$1,$C$112:$C$113,0)-1,0)</f>
        <v>8.6260257130977198</v>
      </c>
      <c r="E23" s="36">
        <f ca="1">10.787475783868*OFFSET(E$112,MATCH($N$1,$C$112:$C$113,0)-1,0)</f>
        <v>10.787475783868</v>
      </c>
      <c r="F23" s="36">
        <f ca="1">10.7356922712564*OFFSET(F$112,MATCH($N$1,$C$112:$C$113,0)-1,0)</f>
        <v>10.735692271256401</v>
      </c>
      <c r="G23" s="36">
        <f ca="1">9.8378067492993*OFFSET(G$112,MATCH($N$1,$C$112:$C$113,0)-1,0)</f>
        <v>9.8378067492993004</v>
      </c>
      <c r="H23" s="36">
        <f ca="1">10.1168651716101*OFFSET(H$112,MATCH($N$1,$C$112:$C$113,0)-1,0)</f>
        <v>10.116865171610099</v>
      </c>
      <c r="I23" s="36">
        <f ca="1">8.54976492522833*OFFSET(I$112,MATCH($N$1,$C$112:$C$113,0)-1,0)</f>
        <v>8.5497649252283292</v>
      </c>
      <c r="J23" s="36">
        <f ca="1">10.6144453343697*OFFSET(J$112,MATCH($N$1,$C$112:$C$113,0)-1,0)</f>
        <v>10.6144453343697</v>
      </c>
      <c r="K23" s="36">
        <f ca="1">11.8361125598376*OFFSET(K$112,MATCH($N$1,$C$112:$C$113,0)-1,0)</f>
        <v>11.8361125598376</v>
      </c>
      <c r="L23" s="36">
        <f ca="1">10.2314217897803*OFFSET(L$112,MATCH($N$1,$C$112:$C$113,0)-1,0)</f>
        <v>10.231421789780301</v>
      </c>
      <c r="M23" s="36">
        <f ca="1">11.0804589710458*OFFSET(M$112,MATCH($N$1,$C$112:$C$113,0)-1,0)</f>
        <v>11.0804589710458</v>
      </c>
      <c r="N23" s="36">
        <v>8.6152864889471434</v>
      </c>
      <c r="O23" s="28">
        <f t="shared" ca="1" si="0"/>
        <v>-1.2449793807442499E-3</v>
      </c>
      <c r="P23" s="28">
        <f t="shared" ca="1" si="1"/>
        <v>-0.18834322307443199</v>
      </c>
    </row>
    <row r="24" spans="1:16" ht="18" customHeight="1">
      <c r="A24" s="176"/>
      <c r="B24" s="35" t="s">
        <v>155</v>
      </c>
      <c r="C24" s="36"/>
      <c r="D24" s="36">
        <f ca="1">1.43069836619666*OFFSET(D$112,MATCH($N$1,$C$112:$C$113,0)-1,0)</f>
        <v>1.4306983661966599</v>
      </c>
      <c r="E24" s="36">
        <f ca="1">1.63166492558237*OFFSET(E$112,MATCH($N$1,$C$112:$C$113,0)-1,0)</f>
        <v>1.6316649255823701</v>
      </c>
      <c r="F24" s="36">
        <f ca="1">1.0569356977248*OFFSET(F$112,MATCH($N$1,$C$112:$C$113,0)-1,0)</f>
        <v>1.0569356977247999</v>
      </c>
      <c r="G24" s="36">
        <f ca="1">1.80017036882104*OFFSET(G$112,MATCH($N$1,$C$112:$C$113,0)-1,0)</f>
        <v>1.80017036882104</v>
      </c>
      <c r="H24" s="36">
        <f ca="1">1.90692597176586*OFFSET(H$112,MATCH($N$1,$C$112:$C$113,0)-1,0)</f>
        <v>1.90692597176586</v>
      </c>
      <c r="I24" s="36">
        <f ca="1">1.2048874544198*OFFSET(I$112,MATCH($N$1,$C$112:$C$113,0)-1,0)</f>
        <v>1.2048874544198001</v>
      </c>
      <c r="J24" s="36">
        <f ca="1">2.30366854497167*OFFSET(J$112,MATCH($N$1,$C$112:$C$113,0)-1,0)</f>
        <v>2.3036685449716701</v>
      </c>
      <c r="K24" s="36">
        <f ca="1">4.42602742964562*OFFSET(K$112,MATCH($N$1,$C$112:$C$113,0)-1,0)</f>
        <v>4.4260274296456199</v>
      </c>
      <c r="L24" s="36">
        <f ca="1">1.90433043362756*OFFSET(L$112,MATCH($N$1,$C$112:$C$113,0)-1,0)</f>
        <v>1.9043304336275599</v>
      </c>
      <c r="M24" s="36">
        <f ca="1">3.18487235945257*OFFSET(M$112,MATCH($N$1,$C$112:$C$113,0)-1,0)</f>
        <v>3.1848723594525699</v>
      </c>
      <c r="N24" s="36">
        <v>1.3938694608944711</v>
      </c>
      <c r="O24" s="28">
        <f t="shared" ca="1" si="0"/>
        <v>-2.5741907709096002E-2</v>
      </c>
      <c r="P24" s="28">
        <f t="shared" ca="1" si="1"/>
        <v>-0.39493489029186163</v>
      </c>
    </row>
    <row r="25" spans="1:16" ht="18" customHeight="1">
      <c r="A25" s="176"/>
      <c r="B25" s="35" t="s">
        <v>200</v>
      </c>
      <c r="C25" s="31"/>
      <c r="D25" s="31">
        <f ca="1">104.44*OFFSET(D$112,MATCH($N$1,$C$112:$C$113,0)-1,0)</f>
        <v>104.44</v>
      </c>
      <c r="E25" s="31">
        <f ca="1">118.14*OFFSET(E$112,MATCH($N$1,$C$112:$C$113,0)-1,0)</f>
        <v>118.14</v>
      </c>
      <c r="F25" s="31">
        <f ca="1">86.2*OFFSET(F$112,MATCH($N$1,$C$112:$C$113,0)-1,0)</f>
        <v>86.2</v>
      </c>
      <c r="G25" s="31">
        <f ca="1">101.12*OFFSET(G$112,MATCH($N$1,$C$112:$C$113,0)-1,0)</f>
        <v>101.12</v>
      </c>
      <c r="H25" s="31">
        <f ca="1">153.8*OFFSET(H$112,MATCH($N$1,$C$112:$C$113,0)-1,0)</f>
        <v>153.80000000000001</v>
      </c>
      <c r="I25" s="31">
        <f ca="1">102.05*OFFSET(I$112,MATCH($N$1,$C$112:$C$113,0)-1,0)</f>
        <v>102.05</v>
      </c>
      <c r="J25" s="31">
        <f ca="1">146.99*OFFSET(J$112,MATCH($N$1,$C$112:$C$113,0)-1,0)</f>
        <v>146.99</v>
      </c>
      <c r="K25" s="31">
        <f ca="1">170.94*OFFSET(K$112,MATCH($N$1,$C$112:$C$113,0)-1,0)</f>
        <v>170.94</v>
      </c>
      <c r="L25" s="31">
        <f ca="1">106.01*OFFSET(L$112,MATCH($N$1,$C$112:$C$113,0)-1,0)</f>
        <v>106.01</v>
      </c>
      <c r="M25" s="31">
        <f ca="1">200.42*OFFSET(M$112,MATCH($N$1,$C$112:$C$113,0)-1,0)</f>
        <v>200.42</v>
      </c>
      <c r="N25" s="31">
        <v>151.19</v>
      </c>
      <c r="O25" s="28">
        <f t="shared" ca="1" si="0"/>
        <v>0.44762543086939871</v>
      </c>
      <c r="P25" s="28">
        <f t="shared" ca="1" si="1"/>
        <v>2.8573372338254223E-2</v>
      </c>
    </row>
    <row r="26" spans="1:16" ht="18" customHeight="1">
      <c r="A26" s="177"/>
      <c r="B26" s="35" t="s">
        <v>201</v>
      </c>
      <c r="C26" s="31"/>
      <c r="D26" s="31">
        <f ca="1">15.27*OFFSET(D$112,MATCH($N$1,$C$112:$C$113,0)-1,0)</f>
        <v>15.27</v>
      </c>
      <c r="E26" s="31">
        <f ca="1">16.71*OFFSET(E$112,MATCH($N$1,$C$112:$C$113,0)-1,0)</f>
        <v>16.71</v>
      </c>
      <c r="F26" s="31">
        <f ca="1">8.89*OFFSET(F$112,MATCH($N$1,$C$112:$C$113,0)-1,0)</f>
        <v>8.89</v>
      </c>
      <c r="G26" s="31">
        <f ca="1">18.34*OFFSET(G$112,MATCH($N$1,$C$112:$C$113,0)-1,0)</f>
        <v>18.34</v>
      </c>
      <c r="H26" s="31">
        <f ca="1">25.92*OFFSET(H$112,MATCH($N$1,$C$112:$C$113,0)-1,0)</f>
        <v>25.92</v>
      </c>
      <c r="I26" s="31">
        <f ca="1">13.18*OFFSET(I$112,MATCH($N$1,$C$112:$C$113,0)-1,0)</f>
        <v>13.18</v>
      </c>
      <c r="J26" s="31">
        <f ca="1">27.7*OFFSET(J$112,MATCH($N$1,$C$112:$C$113,0)-1,0)</f>
        <v>27.7</v>
      </c>
      <c r="K26" s="31">
        <f ca="1">53.5*OFFSET(K$112,MATCH($N$1,$C$112:$C$113,0)-1,0)</f>
        <v>53.5</v>
      </c>
      <c r="L26" s="31">
        <f ca="1">17.35*OFFSET(L$112,MATCH($N$1,$C$112:$C$113,0)-1,0)</f>
        <v>17.350000000000001</v>
      </c>
      <c r="M26" s="31">
        <f ca="1">46.03*OFFSET(M$112,MATCH($N$1,$C$112:$C$113,0)-1,0)</f>
        <v>46.03</v>
      </c>
      <c r="N26" s="31">
        <v>21.85</v>
      </c>
      <c r="O26" s="32">
        <f t="shared" ca="1" si="0"/>
        <v>0.43091028159790451</v>
      </c>
      <c r="P26" s="32">
        <f t="shared" ca="1" si="1"/>
        <v>-0.21119133574007212</v>
      </c>
    </row>
    <row r="27" spans="1:16" ht="18" customHeight="1">
      <c r="A27" s="166" t="s">
        <v>202</v>
      </c>
      <c r="B27" s="33" t="s">
        <v>193</v>
      </c>
      <c r="C27" s="34"/>
      <c r="D27" s="34">
        <f ca="1">787.7*OFFSET(D$112,MATCH($N$1,$C$112:$C$113,0)-1,0)</f>
        <v>787.7</v>
      </c>
      <c r="E27" s="34">
        <f ca="1">853.9*OFFSET(E$112,MATCH($N$1,$C$112:$C$113,0)-1,0)</f>
        <v>853.9</v>
      </c>
      <c r="F27" s="34">
        <f ca="1">728.5*OFFSET(F$112,MATCH($N$1,$C$112:$C$113,0)-1,0)</f>
        <v>728.5</v>
      </c>
      <c r="G27" s="34">
        <f ca="1">785.2*OFFSET(G$112,MATCH($N$1,$C$112:$C$113,0)-1,0)</f>
        <v>785.2</v>
      </c>
      <c r="H27" s="34">
        <f ca="1">900.8*OFFSET(H$112,MATCH($N$1,$C$112:$C$113,0)-1,0)</f>
        <v>900.8</v>
      </c>
      <c r="I27" s="34">
        <f ca="1">781*OFFSET(I$112,MATCH($N$1,$C$112:$C$113,0)-1,0)</f>
        <v>781</v>
      </c>
      <c r="J27" s="34">
        <f ca="1">1076.6*OFFSET(J$112,MATCH($N$1,$C$112:$C$113,0)-1,0)</f>
        <v>1076.5999999999999</v>
      </c>
      <c r="K27" s="34">
        <f ca="1">1233.7*OFFSET(K$112,MATCH($N$1,$C$112:$C$113,0)-1,0)</f>
        <v>1233.7</v>
      </c>
      <c r="L27" s="34">
        <f ca="1">1113.8*OFFSET(L$112,MATCH($N$1,$C$112:$C$113,0)-1,0)</f>
        <v>1113.8</v>
      </c>
      <c r="M27" s="34">
        <f ca="1">1429*OFFSET(M$112,MATCH($N$1,$C$112:$C$113,0)-1,0)</f>
        <v>1429</v>
      </c>
      <c r="N27" s="34">
        <v>839.4</v>
      </c>
      <c r="O27" s="28">
        <f t="shared" ca="1" si="0"/>
        <v>6.5634124666751212E-2</v>
      </c>
      <c r="P27" s="28">
        <f t="shared" ca="1" si="1"/>
        <v>-0.22032323982909155</v>
      </c>
    </row>
    <row r="28" spans="1:16" ht="18" customHeight="1">
      <c r="A28" s="178"/>
      <c r="B28" s="35" t="s">
        <v>203</v>
      </c>
      <c r="C28" s="31"/>
      <c r="D28" s="31">
        <f ca="1">21.8*OFFSET(D$112,MATCH($N$1,$C$112:$C$113,0)-1,0)</f>
        <v>21.8</v>
      </c>
      <c r="E28" s="31">
        <f ca="1">65.2*OFFSET(E$112,MATCH($N$1,$C$112:$C$113,0)-1,0)</f>
        <v>65.2</v>
      </c>
      <c r="F28" s="31">
        <f ca="1">109.4*OFFSET(F$112,MATCH($N$1,$C$112:$C$113,0)-1,0)</f>
        <v>109.4</v>
      </c>
      <c r="G28" s="31">
        <f ca="1">135.5*OFFSET(G$112,MATCH($N$1,$C$112:$C$113,0)-1,0)</f>
        <v>135.5</v>
      </c>
      <c r="H28" s="31">
        <f ca="1">56.2*OFFSET(H$112,MATCH($N$1,$C$112:$C$113,0)-1,0)</f>
        <v>56.2</v>
      </c>
      <c r="I28" s="31">
        <f ca="1">35.9*OFFSET(I$112,MATCH($N$1,$C$112:$C$113,0)-1,0)</f>
        <v>35.9</v>
      </c>
      <c r="J28" s="31">
        <f ca="1">61.1*OFFSET(J$112,MATCH($N$1,$C$112:$C$113,0)-1,0)</f>
        <v>61.1</v>
      </c>
      <c r="K28" s="31">
        <f ca="1">185*OFFSET(K$112,MATCH($N$1,$C$112:$C$113,0)-1,0)</f>
        <v>185</v>
      </c>
      <c r="L28" s="31">
        <f ca="1">48.2*OFFSET(L$112,MATCH($N$1,$C$112:$C$113,0)-1,0)</f>
        <v>48.2</v>
      </c>
      <c r="M28" s="31">
        <f ca="1">41*OFFSET(M$112,MATCH($N$1,$C$112:$C$113,0)-1,0)</f>
        <v>41</v>
      </c>
      <c r="N28" s="31">
        <v>31.8</v>
      </c>
      <c r="O28" s="28">
        <f t="shared" ca="1" si="0"/>
        <v>0.4587155963302752</v>
      </c>
      <c r="P28" s="28">
        <f t="shared" ca="1" si="1"/>
        <v>-0.47954173486088381</v>
      </c>
    </row>
    <row r="29" spans="1:16" ht="18" customHeight="1">
      <c r="A29" s="178"/>
      <c r="B29" s="40" t="s">
        <v>204</v>
      </c>
      <c r="C29" s="41"/>
      <c r="D29" s="41">
        <f ca="1">809.5*OFFSET(D$112,MATCH($N$1,$C$112:$C$113,0)-1,0)</f>
        <v>809.5</v>
      </c>
      <c r="E29" s="41">
        <f ca="1">919.1*OFFSET(E$112,MATCH($N$1,$C$112:$C$113,0)-1,0)</f>
        <v>919.1</v>
      </c>
      <c r="F29" s="41">
        <f ca="1">837.9*OFFSET(F$112,MATCH($N$1,$C$112:$C$113,0)-1,0)</f>
        <v>837.9</v>
      </c>
      <c r="G29" s="41">
        <f ca="1">920.7*OFFSET(G$112,MATCH($N$1,$C$112:$C$113,0)-1,0)</f>
        <v>920.7</v>
      </c>
      <c r="H29" s="41">
        <f ca="1">956.9*OFFSET(H$112,MATCH($N$1,$C$112:$C$113,0)-1,0)</f>
        <v>956.9</v>
      </c>
      <c r="I29" s="41">
        <f ca="1">816.9*OFFSET(I$112,MATCH($N$1,$C$112:$C$113,0)-1,0)</f>
        <v>816.9</v>
      </c>
      <c r="J29" s="41">
        <f ca="1">1137.7*OFFSET(J$112,MATCH($N$1,$C$112:$C$113,0)-1,0)</f>
        <v>1137.7</v>
      </c>
      <c r="K29" s="41">
        <f ca="1">1418.7*OFFSET(K$112,MATCH($N$1,$C$112:$C$113,0)-1,0)</f>
        <v>1418.7</v>
      </c>
      <c r="L29" s="41">
        <f ca="1">1162*OFFSET(L$112,MATCH($N$1,$C$112:$C$113,0)-1,0)</f>
        <v>1162</v>
      </c>
      <c r="M29" s="41">
        <f ca="1">1470.1*OFFSET(M$112,MATCH($N$1,$C$112:$C$113,0)-1,0)</f>
        <v>1470.1</v>
      </c>
      <c r="N29" s="41">
        <v>871.30000000000007</v>
      </c>
      <c r="O29" s="28">
        <f t="shared" ca="1" si="0"/>
        <v>7.6343421865349065E-2</v>
      </c>
      <c r="P29" s="28">
        <f t="shared" ca="1" si="1"/>
        <v>-0.23415663180100199</v>
      </c>
    </row>
    <row r="30" spans="1:16" ht="18" customHeight="1">
      <c r="A30" s="178"/>
      <c r="B30" s="35" t="s">
        <v>205</v>
      </c>
      <c r="C30" s="31"/>
      <c r="D30" s="31">
        <f ca="1">173.2*OFFSET(D$112,MATCH($N$1,$C$112:$C$113,0)-1,0)</f>
        <v>173.2</v>
      </c>
      <c r="E30" s="31">
        <f ca="1">202.3*OFFSET(E$112,MATCH($N$1,$C$112:$C$113,0)-1,0)</f>
        <v>202.3</v>
      </c>
      <c r="F30" s="31">
        <f ca="1">193.3*OFFSET(F$112,MATCH($N$1,$C$112:$C$113,0)-1,0)</f>
        <v>193.3</v>
      </c>
      <c r="G30" s="31">
        <f ca="1">213.3*OFFSET(G$112,MATCH($N$1,$C$112:$C$113,0)-1,0)</f>
        <v>213.3</v>
      </c>
      <c r="H30" s="31">
        <f ca="1">194.5*OFFSET(H$112,MATCH($N$1,$C$112:$C$113,0)-1,0)</f>
        <v>194.5</v>
      </c>
      <c r="I30" s="31">
        <f ca="1">142*OFFSET(I$112,MATCH($N$1,$C$112:$C$113,0)-1,0)</f>
        <v>142</v>
      </c>
      <c r="J30" s="31">
        <f ca="1">139.7*OFFSET(J$112,MATCH($N$1,$C$112:$C$113,0)-1,0)</f>
        <v>139.69999999999999</v>
      </c>
      <c r="K30" s="31">
        <f ca="1">166.2*OFFSET(K$112,MATCH($N$1,$C$112:$C$113,0)-1,0)</f>
        <v>166.2</v>
      </c>
      <c r="L30" s="31">
        <f ca="1">219.5*OFFSET(L$112,MATCH($N$1,$C$112:$C$113,0)-1,0)</f>
        <v>219.5</v>
      </c>
      <c r="M30" s="31">
        <f ca="1">222*OFFSET(M$112,MATCH($N$1,$C$112:$C$113,0)-1,0)</f>
        <v>222</v>
      </c>
      <c r="N30" s="31">
        <v>139.5</v>
      </c>
      <c r="O30" s="28">
        <f t="shared" ca="1" si="0"/>
        <v>-0.19457274826789833</v>
      </c>
      <c r="P30" s="28">
        <f t="shared" ca="1" si="1"/>
        <v>-1.4316392269147363E-3</v>
      </c>
    </row>
    <row r="31" spans="1:16" ht="18" customHeight="1">
      <c r="A31" s="178"/>
      <c r="B31" s="35" t="s">
        <v>206</v>
      </c>
      <c r="C31" s="31"/>
      <c r="D31" s="31">
        <f ca="1">159.6*OFFSET(D$112,MATCH($N$1,$C$112:$C$113,0)-1,0)</f>
        <v>159.6</v>
      </c>
      <c r="E31" s="31">
        <f ca="1">195.5*OFFSET(E$112,MATCH($N$1,$C$112:$C$113,0)-1,0)</f>
        <v>195.5</v>
      </c>
      <c r="F31" s="31">
        <f ca="1">185.3*OFFSET(F$112,MATCH($N$1,$C$112:$C$113,0)-1,0)</f>
        <v>185.3</v>
      </c>
      <c r="G31" s="31">
        <f ca="1">179.7*OFFSET(G$112,MATCH($N$1,$C$112:$C$113,0)-1,0)</f>
        <v>179.7</v>
      </c>
      <c r="H31" s="31">
        <f ca="1">181.8*OFFSET(H$112,MATCH($N$1,$C$112:$C$113,0)-1,0)</f>
        <v>181.8</v>
      </c>
      <c r="I31" s="31">
        <f ca="1">175.9*OFFSET(I$112,MATCH($N$1,$C$112:$C$113,0)-1,0)</f>
        <v>175.9</v>
      </c>
      <c r="J31" s="31">
        <f ca="1">267.2*OFFSET(J$112,MATCH($N$1,$C$112:$C$113,0)-1,0)</f>
        <v>267.2</v>
      </c>
      <c r="K31" s="31">
        <f ca="1">326.1*OFFSET(K$112,MATCH($N$1,$C$112:$C$113,0)-1,0)</f>
        <v>326.10000000000002</v>
      </c>
      <c r="L31" s="31">
        <f ca="1">282.8*OFFSET(L$112,MATCH($N$1,$C$112:$C$113,0)-1,0)</f>
        <v>282.8</v>
      </c>
      <c r="M31" s="31">
        <f ca="1">359.8*OFFSET(M$112,MATCH($N$1,$C$112:$C$113,0)-1,0)</f>
        <v>359.8</v>
      </c>
      <c r="N31" s="31">
        <v>207.6</v>
      </c>
      <c r="O31" s="28">
        <f t="shared" ca="1" si="0"/>
        <v>0.3007518796992481</v>
      </c>
      <c r="P31" s="28">
        <f t="shared" ca="1" si="1"/>
        <v>-0.22305389221556884</v>
      </c>
    </row>
    <row r="32" spans="1:16" ht="18" customHeight="1">
      <c r="A32" s="178"/>
      <c r="B32" s="35" t="s">
        <v>207</v>
      </c>
      <c r="C32" s="31"/>
      <c r="D32" s="31">
        <f ca="1">186.7*OFFSET(D$112,MATCH($N$1,$C$112:$C$113,0)-1,0)</f>
        <v>186.7</v>
      </c>
      <c r="E32" s="31">
        <f ca="1">211.9*OFFSET(E$112,MATCH($N$1,$C$112:$C$113,0)-1,0)</f>
        <v>211.9</v>
      </c>
      <c r="F32" s="31">
        <f ca="1">206.9*OFFSET(F$112,MATCH($N$1,$C$112:$C$113,0)-1,0)</f>
        <v>206.9</v>
      </c>
      <c r="G32" s="31">
        <f ca="1">189.3*OFFSET(G$112,MATCH($N$1,$C$112:$C$113,0)-1,0)</f>
        <v>189.3</v>
      </c>
      <c r="H32" s="31">
        <f ca="1">234.5*OFFSET(H$112,MATCH($N$1,$C$112:$C$113,0)-1,0)</f>
        <v>234.5</v>
      </c>
      <c r="I32" s="31">
        <f ca="1">235*OFFSET(I$112,MATCH($N$1,$C$112:$C$113,0)-1,0)</f>
        <v>235</v>
      </c>
      <c r="J32" s="31">
        <f ca="1">323.3*OFFSET(J$112,MATCH($N$1,$C$112:$C$113,0)-1,0)</f>
        <v>323.3</v>
      </c>
      <c r="K32" s="31">
        <f ca="1">348.4*OFFSET(K$112,MATCH($N$1,$C$112:$C$113,0)-1,0)</f>
        <v>348.4</v>
      </c>
      <c r="L32" s="31">
        <f ca="1">285.4*OFFSET(L$112,MATCH($N$1,$C$112:$C$113,0)-1,0)</f>
        <v>285.39999999999998</v>
      </c>
      <c r="M32" s="31">
        <f ca="1">328*OFFSET(M$112,MATCH($N$1,$C$112:$C$113,0)-1,0)</f>
        <v>328</v>
      </c>
      <c r="N32" s="31">
        <v>192.6</v>
      </c>
      <c r="O32" s="28">
        <f t="shared" ca="1" si="0"/>
        <v>3.1601499732190716E-2</v>
      </c>
      <c r="P32" s="28">
        <f t="shared" ca="1" si="1"/>
        <v>-0.40426848128673065</v>
      </c>
    </row>
    <row r="33" spans="1:16" ht="18" customHeight="1">
      <c r="A33" s="178"/>
      <c r="B33" s="35" t="s">
        <v>208</v>
      </c>
      <c r="C33" s="31"/>
      <c r="D33" s="31">
        <f ca="1">519.6*OFFSET(D$112,MATCH($N$1,$C$112:$C$113,0)-1,0)</f>
        <v>519.6</v>
      </c>
      <c r="E33" s="31">
        <f ca="1">609.6*OFFSET(E$112,MATCH($N$1,$C$112:$C$113,0)-1,0)</f>
        <v>609.6</v>
      </c>
      <c r="F33" s="31">
        <f ca="1">585.6*OFFSET(F$112,MATCH($N$1,$C$112:$C$113,0)-1,0)</f>
        <v>585.6</v>
      </c>
      <c r="G33" s="31">
        <f ca="1">582.3*OFFSET(G$112,MATCH($N$1,$C$112:$C$113,0)-1,0)</f>
        <v>582.29999999999995</v>
      </c>
      <c r="H33" s="31">
        <f ca="1">610.8*OFFSET(H$112,MATCH($N$1,$C$112:$C$113,0)-1,0)</f>
        <v>610.79999999999995</v>
      </c>
      <c r="I33" s="31">
        <f ca="1">552.9*OFFSET(I$112,MATCH($N$1,$C$112:$C$113,0)-1,0)</f>
        <v>552.9</v>
      </c>
      <c r="J33" s="31">
        <f ca="1">730.2*OFFSET(J$112,MATCH($N$1,$C$112:$C$113,0)-1,0)</f>
        <v>730.2</v>
      </c>
      <c r="K33" s="31">
        <f ca="1">840.7*OFFSET(K$112,MATCH($N$1,$C$112:$C$113,0)-1,0)</f>
        <v>840.7</v>
      </c>
      <c r="L33" s="31">
        <f ca="1">787.7*OFFSET(L$112,MATCH($N$1,$C$112:$C$113,0)-1,0)</f>
        <v>787.7</v>
      </c>
      <c r="M33" s="31">
        <f ca="1">909.7*OFFSET(M$112,MATCH($N$1,$C$112:$C$113,0)-1,0)</f>
        <v>909.7</v>
      </c>
      <c r="N33" s="31">
        <v>539.79999999999995</v>
      </c>
      <c r="O33" s="28">
        <f t="shared" ca="1" si="0"/>
        <v>3.8876058506543361E-2</v>
      </c>
      <c r="P33" s="28">
        <f t="shared" ca="1" si="1"/>
        <v>-0.26075047932073414</v>
      </c>
    </row>
    <row r="34" spans="1:16" ht="18" customHeight="1">
      <c r="A34" s="178"/>
      <c r="B34" s="35" t="s">
        <v>209</v>
      </c>
      <c r="C34" s="31"/>
      <c r="D34" s="31">
        <f ca="1">174.7*OFFSET(D$112,MATCH($N$1,$C$112:$C$113,0)-1,0)</f>
        <v>174.7</v>
      </c>
      <c r="E34" s="31">
        <f ca="1">188.7*OFFSET(E$112,MATCH($N$1,$C$112:$C$113,0)-1,0)</f>
        <v>188.7</v>
      </c>
      <c r="F34" s="31">
        <f ca="1">177.3*OFFSET(F$112,MATCH($N$1,$C$112:$C$113,0)-1,0)</f>
        <v>177.3</v>
      </c>
      <c r="G34" s="31">
        <f ca="1">195.9*OFFSET(G$112,MATCH($N$1,$C$112:$C$113,0)-1,0)</f>
        <v>195.9</v>
      </c>
      <c r="H34" s="31">
        <f ca="1">194.4*OFFSET(H$112,MATCH($N$1,$C$112:$C$113,0)-1,0)</f>
        <v>194.4</v>
      </c>
      <c r="I34" s="31">
        <f ca="1">163.1*OFFSET(I$112,MATCH($N$1,$C$112:$C$113,0)-1,0)</f>
        <v>163.1</v>
      </c>
      <c r="J34" s="31">
        <f ca="1">204.6*OFFSET(J$112,MATCH($N$1,$C$112:$C$113,0)-1,0)</f>
        <v>204.6</v>
      </c>
      <c r="K34" s="31">
        <f ca="1">191.9*OFFSET(K$112,MATCH($N$1,$C$112:$C$113,0)-1,0)</f>
        <v>191.9</v>
      </c>
      <c r="L34" s="31">
        <f ca="1">191.9*OFFSET(L$112,MATCH($N$1,$C$112:$C$113,0)-1,0)</f>
        <v>191.9</v>
      </c>
      <c r="M34" s="31">
        <f ca="1">232.1*OFFSET(M$112,MATCH($N$1,$C$112:$C$113,0)-1,0)</f>
        <v>232.1</v>
      </c>
      <c r="N34" s="31">
        <v>210.1</v>
      </c>
      <c r="O34" s="28">
        <f t="shared" ca="1" si="0"/>
        <v>0.20263308528906701</v>
      </c>
      <c r="P34" s="28">
        <f t="shared" ca="1" si="1"/>
        <v>2.6881720430107527E-2</v>
      </c>
    </row>
    <row r="35" spans="1:16" ht="18" customHeight="1">
      <c r="A35" s="178"/>
      <c r="B35" s="35" t="s">
        <v>210</v>
      </c>
      <c r="C35" s="31"/>
      <c r="D35" s="31">
        <f ca="1">694.3*OFFSET(D$112,MATCH($N$1,$C$112:$C$113,0)-1,0)</f>
        <v>694.3</v>
      </c>
      <c r="E35" s="31">
        <f ca="1">798.4*OFFSET(E$112,MATCH($N$1,$C$112:$C$113,0)-1,0)</f>
        <v>798.4</v>
      </c>
      <c r="F35" s="31">
        <f ca="1">762.8*OFFSET(F$112,MATCH($N$1,$C$112:$C$113,0)-1,0)</f>
        <v>762.8</v>
      </c>
      <c r="G35" s="31">
        <f ca="1">778.3*OFFSET(G$112,MATCH($N$1,$C$112:$C$113,0)-1,0)</f>
        <v>778.3</v>
      </c>
      <c r="H35" s="31">
        <f ca="1">805.1*OFFSET(H$112,MATCH($N$1,$C$112:$C$113,0)-1,0)</f>
        <v>805.1</v>
      </c>
      <c r="I35" s="31">
        <f ca="1">716*OFFSET(I$112,MATCH($N$1,$C$112:$C$113,0)-1,0)</f>
        <v>716</v>
      </c>
      <c r="J35" s="31">
        <f ca="1">934.8*OFFSET(J$112,MATCH($N$1,$C$112:$C$113,0)-1,0)</f>
        <v>934.8</v>
      </c>
      <c r="K35" s="31">
        <f ca="1">1032.6*OFFSET(K$112,MATCH($N$1,$C$112:$C$113,0)-1,0)</f>
        <v>1032.5999999999999</v>
      </c>
      <c r="L35" s="31">
        <f ca="1">979.7*OFFSET(L$112,MATCH($N$1,$C$112:$C$113,0)-1,0)</f>
        <v>979.7</v>
      </c>
      <c r="M35" s="31">
        <f ca="1">1141.9*OFFSET(M$112,MATCH($N$1,$C$112:$C$113,0)-1,0)</f>
        <v>1141.9000000000001</v>
      </c>
      <c r="N35" s="31">
        <v>749.9</v>
      </c>
      <c r="O35" s="28">
        <f t="shared" ca="1" si="0"/>
        <v>8.0080656776609568E-2</v>
      </c>
      <c r="P35" s="28">
        <f t="shared" ca="1" si="1"/>
        <v>-0.19779632006846382</v>
      </c>
    </row>
    <row r="36" spans="1:16" ht="18" customHeight="1">
      <c r="A36" s="178"/>
      <c r="B36" s="40" t="s">
        <v>211</v>
      </c>
      <c r="C36" s="41"/>
      <c r="D36" s="41">
        <f ca="1">274.8*OFFSET(D$112,MATCH($N$1,$C$112:$C$113,0)-1,0)</f>
        <v>274.8</v>
      </c>
      <c r="E36" s="41">
        <f ca="1">316.3*OFFSET(E$112,MATCH($N$1,$C$112:$C$113,0)-1,0)</f>
        <v>316.3</v>
      </c>
      <c r="F36" s="41">
        <f ca="1">260.4*OFFSET(F$112,MATCH($N$1,$C$112:$C$113,0)-1,0)</f>
        <v>260.39999999999998</v>
      </c>
      <c r="G36" s="41">
        <f ca="1">322.1*OFFSET(G$112,MATCH($N$1,$C$112:$C$113,0)-1,0)</f>
        <v>322.10000000000002</v>
      </c>
      <c r="H36" s="41">
        <f ca="1">333.6*OFFSET(H$112,MATCH($N$1,$C$112:$C$113,0)-1,0)</f>
        <v>333.6</v>
      </c>
      <c r="I36" s="41">
        <f ca="1">276.8*OFFSET(I$112,MATCH($N$1,$C$112:$C$113,0)-1,0)</f>
        <v>276.8</v>
      </c>
      <c r="J36" s="41">
        <f ca="1">470.1*OFFSET(J$112,MATCH($N$1,$C$112:$C$113,0)-1,0)</f>
        <v>470.1</v>
      </c>
      <c r="K36" s="41">
        <f ca="1">712.2*OFFSET(K$112,MATCH($N$1,$C$112:$C$113,0)-1,0)</f>
        <v>712.2</v>
      </c>
      <c r="L36" s="41">
        <f ca="1">465.1*OFFSET(L$112,MATCH($N$1,$C$112:$C$113,0)-1,0)</f>
        <v>465.1</v>
      </c>
      <c r="M36" s="41">
        <f ca="1">688*OFFSET(M$112,MATCH($N$1,$C$112:$C$113,0)-1,0)</f>
        <v>688</v>
      </c>
      <c r="N36" s="41">
        <v>328.9</v>
      </c>
      <c r="O36" s="28">
        <f t="shared" ca="1" si="0"/>
        <v>0.19687045123726332</v>
      </c>
      <c r="P36" s="28">
        <f t="shared" ca="1" si="1"/>
        <v>-0.30036162518613069</v>
      </c>
    </row>
    <row r="37" spans="1:16" ht="18" customHeight="1">
      <c r="A37" s="178"/>
      <c r="B37" s="40" t="s">
        <v>212</v>
      </c>
      <c r="C37" s="41"/>
      <c r="D37" s="41">
        <f ca="1">115.2*OFFSET(D$112,MATCH($N$1,$C$112:$C$113,0)-1,0)</f>
        <v>115.2</v>
      </c>
      <c r="E37" s="41">
        <f ca="1">120.8*OFFSET(E$112,MATCH($N$1,$C$112:$C$113,0)-1,0)</f>
        <v>120.8</v>
      </c>
      <c r="F37" s="41">
        <f ca="1">75.1*OFFSET(F$112,MATCH($N$1,$C$112:$C$113,0)-1,0)</f>
        <v>75.099999999999994</v>
      </c>
      <c r="G37" s="41">
        <f ca="1">142.4*OFFSET(G$112,MATCH($N$1,$C$112:$C$113,0)-1,0)</f>
        <v>142.4</v>
      </c>
      <c r="H37" s="41">
        <f ca="1">151.8*OFFSET(H$112,MATCH($N$1,$C$112:$C$113,0)-1,0)</f>
        <v>151.80000000000001</v>
      </c>
      <c r="I37" s="41">
        <f ca="1">100.9*OFFSET(I$112,MATCH($N$1,$C$112:$C$113,0)-1,0)</f>
        <v>100.9</v>
      </c>
      <c r="J37" s="41">
        <f ca="1">202.9*OFFSET(J$112,MATCH($N$1,$C$112:$C$113,0)-1,0)</f>
        <v>202.9</v>
      </c>
      <c r="K37" s="41">
        <f ca="1">386.1*OFFSET(K$112,MATCH($N$1,$C$112:$C$113,0)-1,0)</f>
        <v>386.1</v>
      </c>
      <c r="L37" s="41">
        <f ca="1">182.3*OFFSET(L$112,MATCH($N$1,$C$112:$C$113,0)-1,0)</f>
        <v>182.3</v>
      </c>
      <c r="M37" s="41">
        <f ca="1">328.2*OFFSET(M$112,MATCH($N$1,$C$112:$C$113,0)-1,0)</f>
        <v>328.2</v>
      </c>
      <c r="N37" s="41">
        <v>121.3</v>
      </c>
      <c r="O37" s="28">
        <f t="shared" ca="1" si="0"/>
        <v>5.295138888888884E-2</v>
      </c>
      <c r="P37" s="28">
        <f t="shared" ca="1" si="1"/>
        <v>-0.40216855593888617</v>
      </c>
    </row>
    <row r="38" spans="1:16" ht="18" customHeight="1">
      <c r="A38" s="178"/>
      <c r="B38" s="35" t="s">
        <v>213</v>
      </c>
      <c r="C38" s="31"/>
      <c r="D38" s="31">
        <f ca="1">55.3*OFFSET(D$112,MATCH($N$1,$C$112:$C$113,0)-1,0)</f>
        <v>55.3</v>
      </c>
      <c r="E38" s="31">
        <f ca="1">54.9*OFFSET(E$112,MATCH($N$1,$C$112:$C$113,0)-1,0)</f>
        <v>54.9</v>
      </c>
      <c r="F38" s="31">
        <f ca="1">43.7*OFFSET(F$112,MATCH($N$1,$C$112:$C$113,0)-1,0)</f>
        <v>43.7</v>
      </c>
      <c r="G38" s="31">
        <f ca="1">54.1*OFFSET(G$112,MATCH($N$1,$C$112:$C$113,0)-1,0)</f>
        <v>54.1</v>
      </c>
      <c r="H38" s="31">
        <f ca="1">54.9*OFFSET(H$112,MATCH($N$1,$C$112:$C$113,0)-1,0)</f>
        <v>54.9</v>
      </c>
      <c r="I38" s="31">
        <f ca="1">40.1*OFFSET(I$112,MATCH($N$1,$C$112:$C$113,0)-1,0)</f>
        <v>40.1</v>
      </c>
      <c r="J38" s="31">
        <f ca="1">36.9*OFFSET(J$112,MATCH($N$1,$C$112:$C$113,0)-1,0)</f>
        <v>36.9</v>
      </c>
      <c r="K38" s="31">
        <f ca="1">43.4*OFFSET(K$112,MATCH($N$1,$C$112:$C$113,0)-1,0)</f>
        <v>43.4</v>
      </c>
      <c r="L38" s="31">
        <f ca="1">60.5*OFFSET(L$112,MATCH($N$1,$C$112:$C$113,0)-1,0)</f>
        <v>60.5</v>
      </c>
      <c r="M38" s="31">
        <f ca="1">71.4*OFFSET(M$112,MATCH($N$1,$C$112:$C$113,0)-1,0)</f>
        <v>71.400000000000006</v>
      </c>
      <c r="N38" s="31"/>
      <c r="O38" s="28" t="str">
        <f t="shared" si="0"/>
        <v/>
      </c>
      <c r="P38" s="28" t="str">
        <f t="shared" si="1"/>
        <v/>
      </c>
    </row>
    <row r="39" spans="1:16" ht="18" customHeight="1">
      <c r="A39" s="178"/>
      <c r="B39" s="35" t="s">
        <v>214</v>
      </c>
      <c r="C39" s="31"/>
      <c r="D39" s="31">
        <f ca="1">15.7*OFFSET(D$112,MATCH($N$1,$C$112:$C$113,0)-1,0)</f>
        <v>15.7</v>
      </c>
      <c r="E39" s="31">
        <f ca="1">13.1*OFFSET(E$112,MATCH($N$1,$C$112:$C$113,0)-1,0)</f>
        <v>13.1</v>
      </c>
      <c r="F39" s="31">
        <f ca="1">21.7*OFFSET(F$112,MATCH($N$1,$C$112:$C$113,0)-1,0)</f>
        <v>21.7</v>
      </c>
      <c r="G39" s="31">
        <f ca="1">11.7*OFFSET(G$112,MATCH($N$1,$C$112:$C$113,0)-1,0)</f>
        <v>11.7</v>
      </c>
      <c r="H39" s="31">
        <f ca="1">11.1*OFFSET(H$112,MATCH($N$1,$C$112:$C$113,0)-1,0)</f>
        <v>11.1</v>
      </c>
      <c r="I39" s="31">
        <f ca="1">10.7*OFFSET(I$112,MATCH($N$1,$C$112:$C$113,0)-1,0)</f>
        <v>10.7</v>
      </c>
      <c r="J39" s="31">
        <f ca="1">9.3*OFFSET(J$112,MATCH($N$1,$C$112:$C$113,0)-1,0)</f>
        <v>9.3000000000000007</v>
      </c>
      <c r="K39" s="31">
        <f ca="1">7.4*OFFSET(K$112,MATCH($N$1,$C$112:$C$113,0)-1,0)</f>
        <v>7.4</v>
      </c>
      <c r="L39" s="31">
        <f ca="1">7.7*OFFSET(L$112,MATCH($N$1,$C$112:$C$113,0)-1,0)</f>
        <v>7.7</v>
      </c>
      <c r="M39" s="31">
        <f ca="1">12.6*OFFSET(M$112,MATCH($N$1,$C$112:$C$113,0)-1,0)</f>
        <v>12.6</v>
      </c>
      <c r="N39" s="31"/>
      <c r="O39" s="28" t="str">
        <f t="shared" si="0"/>
        <v/>
      </c>
      <c r="P39" s="28" t="str">
        <f t="shared" si="1"/>
        <v/>
      </c>
    </row>
    <row r="40" spans="1:16" ht="18" customHeight="1">
      <c r="A40" s="178"/>
      <c r="B40" s="35" t="s">
        <v>215</v>
      </c>
      <c r="C40" s="31"/>
      <c r="D40" s="31">
        <f ca="1">0.2*OFFSET(D$112,MATCH($N$1,$C$112:$C$113,0)-1,0)</f>
        <v>0.2</v>
      </c>
      <c r="E40" s="31">
        <f ca="1">7.2*OFFSET(E$112,MATCH($N$1,$C$112:$C$113,0)-1,0)</f>
        <v>7.2</v>
      </c>
      <c r="F40" s="31">
        <f ca="1">1*OFFSET(F$112,MATCH($N$1,$C$112:$C$113,0)-1,0)</f>
        <v>1</v>
      </c>
      <c r="G40" s="31">
        <f ca="1">4.1*OFFSET(G$112,MATCH($N$1,$C$112:$C$113,0)-1,0)</f>
        <v>4.0999999999999996</v>
      </c>
      <c r="H40" s="31">
        <f ca="1">5.7*OFFSET(H$112,MATCH($N$1,$C$112:$C$113,0)-1,0)</f>
        <v>5.7</v>
      </c>
      <c r="I40" s="31">
        <f ca="1">3*OFFSET(I$112,MATCH($N$1,$C$112:$C$113,0)-1,0)</f>
        <v>3</v>
      </c>
      <c r="J40" s="31">
        <f ca="1">2.3*OFFSET(J$112,MATCH($N$1,$C$112:$C$113,0)-1,0)</f>
        <v>2.2999999999999998</v>
      </c>
      <c r="K40" s="31">
        <f ca="1">8.9*OFFSET(K$112,MATCH($N$1,$C$112:$C$113,0)-1,0)</f>
        <v>8.9</v>
      </c>
      <c r="L40" s="31">
        <f ca="1">3.6*OFFSET(L$112,MATCH($N$1,$C$112:$C$113,0)-1,0)</f>
        <v>3.6</v>
      </c>
      <c r="M40" s="31">
        <f ca="1">5.1*OFFSET(M$112,MATCH($N$1,$C$112:$C$113,0)-1,0)</f>
        <v>5.0999999999999996</v>
      </c>
      <c r="N40" s="31"/>
      <c r="O40" s="28" t="str">
        <f t="shared" si="0"/>
        <v/>
      </c>
      <c r="P40" s="28" t="str">
        <f t="shared" si="1"/>
        <v/>
      </c>
    </row>
    <row r="41" spans="1:16" ht="18" customHeight="1" thickBot="1">
      <c r="A41" s="179"/>
      <c r="B41" s="42" t="s">
        <v>216</v>
      </c>
      <c r="C41" s="43"/>
      <c r="D41" s="43">
        <f ca="1">43.9*OFFSET(D$112,MATCH($N$1,$C$112:$C$113,0)-1,0)</f>
        <v>43.9</v>
      </c>
      <c r="E41" s="43">
        <f ca="1">45.5*OFFSET(E$112,MATCH($N$1,$C$112:$C$113,0)-1,0)</f>
        <v>45.5</v>
      </c>
      <c r="F41" s="43">
        <f ca="1">8.7*OFFSET(F$112,MATCH($N$1,$C$112:$C$113,0)-1,0)</f>
        <v>8.6999999999999993</v>
      </c>
      <c r="G41" s="43">
        <f ca="1">72.5*OFFSET(G$112,MATCH($N$1,$C$112:$C$113,0)-1,0)</f>
        <v>72.5</v>
      </c>
      <c r="H41" s="43">
        <f ca="1">80.1*OFFSET(H$112,MATCH($N$1,$C$112:$C$113,0)-1,0)</f>
        <v>80.099999999999994</v>
      </c>
      <c r="I41" s="43">
        <f ca="1">47.1*OFFSET(I$112,MATCH($N$1,$C$112:$C$113,0)-1,0)</f>
        <v>47.1</v>
      </c>
      <c r="J41" s="43">
        <f ca="1">154.3*OFFSET(J$112,MATCH($N$1,$C$112:$C$113,0)-1,0)</f>
        <v>154.30000000000001</v>
      </c>
      <c r="K41" s="43">
        <f ca="1">326.4*OFFSET(K$112,MATCH($N$1,$C$112:$C$113,0)-1,0)</f>
        <v>326.39999999999998</v>
      </c>
      <c r="L41" s="43">
        <f ca="1">110.5*OFFSET(L$112,MATCH($N$1,$C$112:$C$113,0)-1,0)</f>
        <v>110.5</v>
      </c>
      <c r="M41" s="43">
        <f ca="1">239.1*OFFSET(M$112,MATCH($N$1,$C$112:$C$113,0)-1,0)</f>
        <v>239.1</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159</v>
      </c>
      <c r="F46" s="90" t="s">
        <v>159</v>
      </c>
      <c r="G46" s="90" t="s">
        <v>163</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NSWOS demersal under 24m over 300kW</v>
      </c>
      <c r="B48" s="202"/>
      <c r="C48" s="92"/>
      <c r="D48" s="92"/>
      <c r="E48" s="92"/>
      <c r="F48" s="92"/>
      <c r="G48" s="92"/>
      <c r="H48" s="202"/>
      <c r="I48" s="202"/>
      <c r="J48" s="202"/>
      <c r="K48" s="92" t="str">
        <f>$B24&amp;CHAR(10)&amp;$A$1</f>
        <v>Operating profit per kW day at sea (£)
NSWOS demersal under 24m over 300kW</v>
      </c>
      <c r="L48" s="202"/>
      <c r="M48" s="202"/>
      <c r="N48" s="202"/>
      <c r="O48" s="202"/>
      <c r="P48" s="202"/>
    </row>
    <row r="49" spans="1:11" s="80" customFormat="1">
      <c r="A49" s="92" t="str">
        <f>$B22&amp;CHAR(10)&amp;$A$1</f>
        <v>Fishing income per kW day at sea (£)
NSWOS demersal under 24m over 300kW</v>
      </c>
      <c r="B49" s="202"/>
      <c r="C49" s="202"/>
      <c r="D49" s="202"/>
      <c r="E49" s="202"/>
      <c r="F49" s="202"/>
      <c r="G49" s="202"/>
      <c r="H49" s="202"/>
      <c r="I49" s="202"/>
      <c r="J49" s="202"/>
      <c r="K49" s="202"/>
    </row>
    <row r="50" spans="1:11" s="80" customFormat="1">
      <c r="A50" s="92" t="str">
        <f>$B20&amp;CHAR(10)&amp;$A$1</f>
        <v>Average price per tonne landed (£)
NSWOS demersal under 24m over 300kW</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NSWOS demersal under 24m over 300kW</v>
      </c>
      <c r="C62" s="202"/>
      <c r="D62" s="202"/>
      <c r="E62" s="202"/>
      <c r="F62" s="92" t="str">
        <f>$B20&amp;CHAR(10)&amp;$A$1</f>
        <v>Average price per tonne landed (£)
NSWOS demersal under 24m over 300kW</v>
      </c>
      <c r="G62" s="202"/>
      <c r="H62" s="202"/>
      <c r="I62" s="202"/>
      <c r="J62" s="202"/>
      <c r="K62" s="92" t="str">
        <f>"Average annual operating profit per vessel (£'000)"&amp;CHAR(10)&amp;$A$1</f>
        <v>Average annual operating profit per vessel (£'000)
NSWOS demersal under 24m over 300kW</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NSWOS demersal under 24m over 300kW</v>
      </c>
      <c r="F76" s="92" t="str">
        <f>"Top 5 landed species by value in "&amp;A77&amp;CHAR(10)&amp;A1</f>
        <v>Top 5 landed species by value in 2019
NSWOS demersal under 24m over 300kW</v>
      </c>
    </row>
    <row r="77" spans="1:11" s="92" customFormat="1">
      <c r="A77" s="92">
        <v>2019</v>
      </c>
      <c r="B77" s="92" t="s">
        <v>477</v>
      </c>
      <c r="C77" s="93">
        <v>0.19006767065522753</v>
      </c>
      <c r="D77" s="94">
        <v>553960</v>
      </c>
      <c r="G77" s="92" t="s">
        <v>478</v>
      </c>
      <c r="H77" s="93">
        <v>0.25443672236853537</v>
      </c>
      <c r="I77" s="94">
        <v>12153634</v>
      </c>
      <c r="K77" s="92" t="s">
        <v>230</v>
      </c>
    </row>
    <row r="78" spans="1:11" s="92" customFormat="1">
      <c r="B78" s="92" t="s">
        <v>479</v>
      </c>
      <c r="C78" s="93">
        <v>0.18472265828055023</v>
      </c>
      <c r="D78" s="94">
        <v>12153634</v>
      </c>
      <c r="G78" s="92" t="s">
        <v>480</v>
      </c>
      <c r="H78" s="93">
        <v>0.21812335255180448</v>
      </c>
      <c r="I78" s="94">
        <v>553960</v>
      </c>
    </row>
    <row r="79" spans="1:11" s="92" customFormat="1">
      <c r="B79" s="92" t="s">
        <v>481</v>
      </c>
      <c r="C79" s="93">
        <v>0.14077042951798255</v>
      </c>
      <c r="D79" s="94">
        <v>3050596</v>
      </c>
      <c r="G79" s="92" t="s">
        <v>482</v>
      </c>
      <c r="H79" s="93">
        <v>9.2067504870369382E-2</v>
      </c>
      <c r="I79" s="94">
        <v>3050596</v>
      </c>
    </row>
    <row r="80" spans="1:11" s="92" customFormat="1">
      <c r="B80" s="92" t="s">
        <v>448</v>
      </c>
      <c r="C80" s="93">
        <v>7.8690180096552167E-2</v>
      </c>
      <c r="D80" s="94">
        <v>11115023</v>
      </c>
      <c r="G80" s="92" t="s">
        <v>483</v>
      </c>
      <c r="H80" s="93">
        <v>8.8796431557941258E-2</v>
      </c>
      <c r="I80" s="94">
        <v>1692097</v>
      </c>
    </row>
    <row r="81" spans="1:19" s="92" customFormat="1">
      <c r="B81" s="92" t="s">
        <v>484</v>
      </c>
      <c r="C81" s="93">
        <v>7.7062880760610381E-2</v>
      </c>
      <c r="D81" s="94">
        <v>2480382</v>
      </c>
      <c r="G81" s="92" t="s">
        <v>485</v>
      </c>
      <c r="H81" s="93">
        <v>8.1293009814167733E-2</v>
      </c>
      <c r="I81" s="94">
        <v>3689192</v>
      </c>
    </row>
    <row r="82" spans="1:19" s="92" customFormat="1">
      <c r="B82" s="92" t="s">
        <v>486</v>
      </c>
      <c r="C82" s="93">
        <v>0.32868618068907707</v>
      </c>
      <c r="D82" s="94">
        <v>5920853</v>
      </c>
      <c r="G82" s="92" t="s">
        <v>451</v>
      </c>
      <c r="H82" s="93">
        <v>0.26528297883718177</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161</v>
      </c>
      <c r="D92" s="98">
        <v>0.2639582012777697</v>
      </c>
      <c r="E92" s="98">
        <v>0.22342946283437493</v>
      </c>
      <c r="F92" s="98">
        <v>0.20586088664087801</v>
      </c>
      <c r="G92" s="98">
        <v>0.20885299978592098</v>
      </c>
      <c r="H92" s="98">
        <v>0.25508867845839367</v>
      </c>
      <c r="I92" s="98">
        <v>0.29532353105989179</v>
      </c>
      <c r="J92" s="98">
        <v>0.28356364999439376</v>
      </c>
      <c r="K92" s="98">
        <v>0.27400465491906034</v>
      </c>
      <c r="L92" s="98">
        <v>0.25443672236853537</v>
      </c>
      <c r="M92" s="98">
        <v>0.2852980501599956</v>
      </c>
      <c r="O92" s="92">
        <v>12153634</v>
      </c>
    </row>
    <row r="93" spans="1:19" s="92" customFormat="1" hidden="1">
      <c r="B93" s="92">
        <v>2</v>
      </c>
      <c r="C93" s="92" t="s">
        <v>241</v>
      </c>
      <c r="D93" s="98">
        <v>0.14181879691746274</v>
      </c>
      <c r="E93" s="98">
        <v>0.14886688922781699</v>
      </c>
      <c r="F93" s="98">
        <v>0.1392130912196477</v>
      </c>
      <c r="G93" s="98">
        <v>0.15020085804199765</v>
      </c>
      <c r="H93" s="98">
        <v>0.14744146143074563</v>
      </c>
      <c r="I93" s="98">
        <v>0.15335816214068138</v>
      </c>
      <c r="J93" s="98">
        <v>0.16635584973178852</v>
      </c>
      <c r="K93" s="98">
        <v>0.16794401591349684</v>
      </c>
      <c r="L93" s="98">
        <v>0.21812335255180448</v>
      </c>
      <c r="M93" s="98">
        <v>0.1407020790823976</v>
      </c>
      <c r="O93" s="92">
        <v>553960</v>
      </c>
    </row>
    <row r="94" spans="1:19" s="92" customFormat="1" hidden="1">
      <c r="B94" s="92">
        <v>3</v>
      </c>
      <c r="C94" s="92" t="s">
        <v>157</v>
      </c>
      <c r="D94" s="98">
        <v>9.2834805561114925E-2</v>
      </c>
      <c r="E94" s="98">
        <v>0.12716385888484361</v>
      </c>
      <c r="F94" s="98">
        <v>0.19118049834957648</v>
      </c>
      <c r="G94" s="98">
        <v>0.19227705427281416</v>
      </c>
      <c r="H94" s="98">
        <v>0.146299239451432</v>
      </c>
      <c r="I94" s="98">
        <v>0.11687707363737342</v>
      </c>
      <c r="J94" s="98">
        <v>0.10600729447270055</v>
      </c>
      <c r="K94" s="98">
        <v>0.10308447918965936</v>
      </c>
      <c r="L94" s="98">
        <v>9.2067504870369382E-2</v>
      </c>
      <c r="M94" s="98">
        <v>0.10063193225048664</v>
      </c>
      <c r="O94" s="92">
        <v>3050596</v>
      </c>
    </row>
    <row r="95" spans="1:19" s="92" customFormat="1" hidden="1">
      <c r="B95" s="92">
        <v>4</v>
      </c>
      <c r="C95" s="92" t="s">
        <v>310</v>
      </c>
      <c r="D95" s="98">
        <v>0.11532233227307828</v>
      </c>
      <c r="E95" s="98">
        <v>0.11949410818006052</v>
      </c>
      <c r="F95" s="98">
        <v>9.2661210214459305E-2</v>
      </c>
      <c r="G95" s="98">
        <v>7.7703531947885845E-2</v>
      </c>
      <c r="H95" s="98">
        <v>5.6568036055150386E-2</v>
      </c>
      <c r="I95" s="98"/>
      <c r="J95" s="98">
        <v>6.0540763078732449E-2</v>
      </c>
      <c r="K95" s="98">
        <v>6.3180935807107375E-2</v>
      </c>
      <c r="L95" s="98">
        <v>8.8796431557941258E-2</v>
      </c>
      <c r="M95" s="98">
        <v>0.13321665488143405</v>
      </c>
      <c r="O95" s="92">
        <v>1692097</v>
      </c>
    </row>
    <row r="96" spans="1:19" s="92" customFormat="1" hidden="1">
      <c r="B96" s="92">
        <v>5</v>
      </c>
      <c r="C96" s="92" t="s">
        <v>160</v>
      </c>
      <c r="D96" s="98">
        <v>7.8933042670299464E-2</v>
      </c>
      <c r="E96" s="98">
        <v>0.12407887108021337</v>
      </c>
      <c r="F96" s="98">
        <v>0.10786903147891962</v>
      </c>
      <c r="G96" s="98">
        <v>0.12698797115171784</v>
      </c>
      <c r="H96" s="98">
        <v>0.14539436123514304</v>
      </c>
      <c r="I96" s="98">
        <v>0.10490004783077564</v>
      </c>
      <c r="J96" s="98">
        <v>0.10955828760579243</v>
      </c>
      <c r="K96" s="98">
        <v>0.15147339554078243</v>
      </c>
      <c r="L96" s="98">
        <v>8.1293009814167733E-2</v>
      </c>
      <c r="M96" s="98">
        <v>0.10293346672496521</v>
      </c>
      <c r="O96" s="92">
        <v>3689192</v>
      </c>
    </row>
    <row r="97" spans="1:15" s="92" customFormat="1" hidden="1">
      <c r="B97" s="92">
        <v>6</v>
      </c>
      <c r="C97" s="92" t="s">
        <v>169</v>
      </c>
      <c r="D97" s="98"/>
      <c r="E97" s="98"/>
      <c r="F97" s="98"/>
      <c r="G97" s="98"/>
      <c r="H97" s="98"/>
      <c r="I97" s="98">
        <v>7.1527491717190847E-2</v>
      </c>
      <c r="J97" s="98"/>
      <c r="K97" s="98"/>
      <c r="L97" s="98"/>
      <c r="M97" s="98"/>
      <c r="O97" s="92">
        <v>11115023</v>
      </c>
    </row>
    <row r="98" spans="1:15" s="92" customFormat="1" hidden="1">
      <c r="B98" s="92">
        <v>7</v>
      </c>
      <c r="C98" s="92" t="s">
        <v>245</v>
      </c>
      <c r="D98" s="98">
        <v>0.30713282130027486</v>
      </c>
      <c r="E98" s="98">
        <v>0.2569668097926906</v>
      </c>
      <c r="F98" s="98">
        <v>0.2632152820965189</v>
      </c>
      <c r="G98" s="98">
        <v>0.24397758479966353</v>
      </c>
      <c r="H98" s="98">
        <v>0.24920822336913526</v>
      </c>
      <c r="I98" s="98">
        <v>0.25801369361408694</v>
      </c>
      <c r="J98" s="98">
        <v>0.27397415511659229</v>
      </c>
      <c r="K98" s="98">
        <v>0.24031251862989367</v>
      </c>
      <c r="L98" s="98">
        <v>0.26528297883718177</v>
      </c>
      <c r="M98" s="98">
        <v>0.23721781690072091</v>
      </c>
      <c r="O98" s="92">
        <v>5920853</v>
      </c>
    </row>
    <row r="99" spans="1:15" s="92" customFormat="1" hidden="1">
      <c r="B99" s="92">
        <v>8</v>
      </c>
      <c r="D99" s="98"/>
      <c r="E99" s="98"/>
      <c r="F99" s="98"/>
      <c r="G99" s="98"/>
      <c r="H99" s="98"/>
      <c r="I99" s="98"/>
      <c r="J99" s="98"/>
      <c r="K99" s="98"/>
      <c r="L99" s="98"/>
      <c r="M99" s="98"/>
      <c r="O99" s="92">
        <v>7434864</v>
      </c>
    </row>
    <row r="100" spans="1:15" s="92" customFormat="1" hidden="1">
      <c r="B100" s="92">
        <v>9</v>
      </c>
      <c r="D100" s="98"/>
      <c r="E100" s="98"/>
      <c r="F100" s="98"/>
      <c r="G100" s="98"/>
      <c r="H100" s="98"/>
      <c r="I100" s="98"/>
      <c r="J100" s="98"/>
      <c r="K100" s="98"/>
      <c r="L100" s="98"/>
      <c r="M100" s="98"/>
      <c r="O100" s="92">
        <v>8497745</v>
      </c>
    </row>
    <row r="101" spans="1:15" s="92" customFormat="1" hidden="1">
      <c r="B101" s="92">
        <v>10</v>
      </c>
      <c r="D101" s="98"/>
      <c r="E101" s="98"/>
      <c r="F101" s="98"/>
      <c r="G101" s="98"/>
      <c r="H101" s="98"/>
      <c r="I101" s="98"/>
      <c r="J101" s="98"/>
      <c r="K101" s="98"/>
      <c r="L101" s="98"/>
      <c r="M101" s="98"/>
      <c r="O101" s="92">
        <v>14393110</v>
      </c>
    </row>
    <row r="102" spans="1:15" s="92" customFormat="1" hidden="1">
      <c r="B102" s="92">
        <v>11</v>
      </c>
      <c r="D102" s="98"/>
      <c r="E102" s="98"/>
      <c r="F102" s="98"/>
      <c r="G102" s="98"/>
      <c r="H102" s="98"/>
      <c r="I102" s="98"/>
      <c r="J102" s="98"/>
      <c r="K102" s="98"/>
      <c r="L102" s="98"/>
      <c r="M102" s="98"/>
      <c r="O102" s="92">
        <v>2887140</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8</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7</v>
      </c>
      <c r="D120" s="54">
        <v>12</v>
      </c>
      <c r="E120" s="54">
        <v>7</v>
      </c>
      <c r="F120" s="55">
        <v>26</v>
      </c>
    </row>
    <row r="121" spans="1:15" ht="18" customHeight="1">
      <c r="A121" s="173" t="s">
        <v>191</v>
      </c>
      <c r="B121" s="33" t="s">
        <v>192</v>
      </c>
      <c r="C121" s="56">
        <v>20.452857971191406</v>
      </c>
      <c r="D121" s="56">
        <v>20.719999313354492</v>
      </c>
      <c r="E121" s="56">
        <v>21.217142105102539</v>
      </c>
      <c r="F121" s="57">
        <v>20.781923294067383</v>
      </c>
      <c r="G121" s="206"/>
      <c r="H121" s="206"/>
      <c r="I121" s="206"/>
      <c r="J121" s="206"/>
      <c r="K121" s="206"/>
      <c r="L121" s="206"/>
      <c r="M121" s="206"/>
      <c r="N121" s="206"/>
      <c r="O121" s="206"/>
    </row>
    <row r="122" spans="1:15" ht="18" customHeight="1">
      <c r="A122" s="174"/>
      <c r="B122" s="35" t="s">
        <v>184</v>
      </c>
      <c r="C122" s="58">
        <v>473.57144165039063</v>
      </c>
      <c r="D122" s="58">
        <v>502.99998474121094</v>
      </c>
      <c r="E122" s="58">
        <v>439.42855834960938</v>
      </c>
      <c r="F122" s="59">
        <v>477.9615478515625</v>
      </c>
      <c r="G122" s="206"/>
      <c r="H122" s="206"/>
      <c r="I122" s="206"/>
      <c r="J122" s="206"/>
      <c r="K122" s="206"/>
      <c r="L122" s="206"/>
      <c r="M122" s="206"/>
      <c r="N122" s="206"/>
      <c r="O122" s="206"/>
    </row>
    <row r="123" spans="1:15" ht="18" customHeight="1">
      <c r="A123" s="174"/>
      <c r="B123" s="35" t="s">
        <v>185</v>
      </c>
      <c r="C123" s="58">
        <v>193.57142639160156</v>
      </c>
      <c r="D123" s="58">
        <v>176.91667175292969</v>
      </c>
      <c r="E123" s="58">
        <v>161</v>
      </c>
      <c r="F123" s="59">
        <v>177.11538696289063</v>
      </c>
      <c r="G123" s="206"/>
      <c r="H123" s="206"/>
      <c r="I123" s="206"/>
      <c r="J123" s="206"/>
      <c r="K123" s="206"/>
      <c r="L123" s="206"/>
      <c r="M123" s="206"/>
      <c r="N123" s="206"/>
      <c r="O123" s="206"/>
    </row>
    <row r="124" spans="1:15" ht="18" customHeight="1">
      <c r="A124" s="174"/>
      <c r="B124" s="35" t="s">
        <v>186</v>
      </c>
      <c r="C124" s="58">
        <v>364.59820556640625</v>
      </c>
      <c r="D124" s="58">
        <v>374.14315795898438</v>
      </c>
      <c r="E124" s="58">
        <v>343.73556518554688</v>
      </c>
      <c r="F124" s="59">
        <v>363.38671875</v>
      </c>
      <c r="G124" s="206"/>
      <c r="H124" s="206"/>
      <c r="I124" s="206"/>
      <c r="J124" s="206"/>
      <c r="K124" s="206"/>
      <c r="L124" s="206"/>
      <c r="M124" s="206"/>
      <c r="N124" s="206"/>
      <c r="O124" s="206"/>
    </row>
    <row r="125" spans="1:15" ht="18" customHeight="1">
      <c r="A125" s="174"/>
      <c r="B125" s="35" t="s">
        <v>187</v>
      </c>
      <c r="C125" s="31">
        <v>824.34735107421875</v>
      </c>
      <c r="D125" s="31">
        <v>516.72067260742188</v>
      </c>
      <c r="E125" s="31">
        <v>339.18679809570313</v>
      </c>
      <c r="F125" s="60">
        <v>551.74566650390625</v>
      </c>
      <c r="G125" s="206"/>
      <c r="H125" s="206"/>
      <c r="I125" s="206"/>
      <c r="J125" s="206"/>
      <c r="K125" s="206"/>
      <c r="L125" s="206"/>
      <c r="M125" s="206"/>
      <c r="N125" s="206"/>
      <c r="O125" s="206"/>
    </row>
    <row r="126" spans="1:15" ht="18" customHeight="1">
      <c r="A126" s="174"/>
      <c r="B126" s="35" t="s">
        <v>193</v>
      </c>
      <c r="C126" s="31">
        <f ca="1">2174.42625*OFFSET($L$112,MATCH($N$1,$C$112:$C$113,0)-1,0)</f>
        <v>2174.42625</v>
      </c>
      <c r="D126" s="31">
        <f ca="1">1357.2845*OFFSET($L$112,MATCH($N$1,$C$112:$C$113,0)-1,0)</f>
        <v>1357.2845</v>
      </c>
      <c r="E126" s="31">
        <f ca="1">806.63525*OFFSET($L$112,MATCH($N$1,$C$112:$C$113,0)-1,0)</f>
        <v>806.63525000000004</v>
      </c>
      <c r="F126" s="60">
        <f ca="1">1429.0325*OFFSET($L$112,MATCH($N$1,$C$112:$C$113,0)-1,0)</f>
        <v>1429.0325</v>
      </c>
      <c r="G126" s="206"/>
      <c r="H126" s="206"/>
      <c r="I126" s="206"/>
      <c r="J126" s="206"/>
      <c r="K126" s="206"/>
      <c r="L126" s="206"/>
      <c r="M126" s="206"/>
      <c r="N126" s="206"/>
      <c r="O126" s="206"/>
    </row>
    <row r="127" spans="1:15" ht="18" customHeight="1">
      <c r="A127" s="174"/>
      <c r="B127" s="35" t="s">
        <v>189</v>
      </c>
      <c r="C127" s="58">
        <v>259.71429443359375</v>
      </c>
      <c r="D127" s="58">
        <v>206.83333587646484</v>
      </c>
      <c r="E127" s="58">
        <v>181.57142639160156</v>
      </c>
      <c r="F127" s="59">
        <v>214.26922607421875</v>
      </c>
      <c r="G127" s="206"/>
      <c r="H127" s="206"/>
      <c r="I127" s="206"/>
      <c r="J127" s="206"/>
      <c r="K127" s="206"/>
      <c r="L127" s="206"/>
      <c r="M127" s="206"/>
      <c r="N127" s="206"/>
      <c r="O127" s="206"/>
    </row>
    <row r="128" spans="1:15" ht="18" customHeight="1">
      <c r="A128" s="174"/>
      <c r="B128" s="35" t="s">
        <v>194</v>
      </c>
      <c r="C128" s="58">
        <v>12.285714149475098</v>
      </c>
      <c r="D128" s="58">
        <v>19.5</v>
      </c>
      <c r="E128" s="58">
        <v>28.285715103149414</v>
      </c>
      <c r="F128" s="59">
        <v>19.923076629638672</v>
      </c>
      <c r="G128" s="206"/>
      <c r="H128" s="206"/>
      <c r="I128" s="206"/>
      <c r="J128" s="206"/>
      <c r="K128" s="206"/>
      <c r="L128" s="206"/>
      <c r="M128" s="206"/>
      <c r="N128" s="206"/>
      <c r="O128" s="206"/>
    </row>
    <row r="129" spans="1:15" ht="18" customHeight="1">
      <c r="A129" s="174"/>
      <c r="B129" s="35" t="s">
        <v>195</v>
      </c>
      <c r="C129" s="61">
        <v>3.1740546226501465</v>
      </c>
      <c r="D129" s="61">
        <v>2.4982465733475534</v>
      </c>
      <c r="E129" s="61">
        <v>1.8680626153945923</v>
      </c>
      <c r="F129" s="62">
        <v>2.5750112533569336</v>
      </c>
      <c r="G129" s="206"/>
      <c r="H129" s="206"/>
      <c r="I129" s="206"/>
      <c r="J129" s="206"/>
      <c r="K129" s="206"/>
      <c r="L129" s="206"/>
      <c r="M129" s="206"/>
      <c r="N129" s="206"/>
      <c r="O129" s="206"/>
    </row>
    <row r="130" spans="1:15" ht="18" customHeight="1">
      <c r="A130" s="175"/>
      <c r="B130" s="37" t="s">
        <v>196</v>
      </c>
      <c r="C130" s="38">
        <f ca="1">2637.7548822914*OFFSET($L$112,MATCH($N$1,$C$112:$C$113,0)-1,0)</f>
        <v>2637.7548822914</v>
      </c>
      <c r="D130" s="38">
        <f ca="1">2626.72769245134*OFFSET($L$112,MATCH($N$1,$C$112:$C$113,0)-1,0)</f>
        <v>2626.7276924513399</v>
      </c>
      <c r="E130" s="38">
        <f ca="1">2378.14459327041*OFFSET($L$112,MATCH($N$1,$C$112:$C$113,0)-1,0)</f>
        <v>2378.14459327041</v>
      </c>
      <c r="F130" s="63">
        <f ca="1">2590*OFFSET($L$112,MATCH($N$1,$C$112:$C$113,0)-1,0)</f>
        <v>2590</v>
      </c>
      <c r="G130" s="206"/>
      <c r="H130" s="206"/>
      <c r="I130" s="206"/>
      <c r="J130" s="206"/>
      <c r="K130" s="206"/>
      <c r="L130" s="206"/>
      <c r="M130" s="206"/>
      <c r="N130" s="206"/>
      <c r="O130" s="206"/>
    </row>
    <row r="131" spans="1:15" ht="18" customHeight="1">
      <c r="A131" s="184" t="s">
        <v>197</v>
      </c>
      <c r="B131" s="33" t="s">
        <v>198</v>
      </c>
      <c r="C131" s="64">
        <v>6.6230800575647315</v>
      </c>
      <c r="D131" s="64">
        <v>4.9967186845571296</v>
      </c>
      <c r="E131" s="64">
        <v>4.1864354386167069</v>
      </c>
      <c r="F131" s="65">
        <v>5.354059145631795</v>
      </c>
      <c r="G131" s="206"/>
      <c r="H131" s="206"/>
      <c r="I131" s="206"/>
      <c r="J131" s="206"/>
      <c r="K131" s="206"/>
      <c r="L131" s="206"/>
      <c r="M131" s="206"/>
      <c r="N131" s="206"/>
      <c r="O131" s="206"/>
    </row>
    <row r="132" spans="1:15" ht="18" customHeight="1">
      <c r="A132" s="185"/>
      <c r="B132" s="35" t="s">
        <v>199</v>
      </c>
      <c r="C132" s="61">
        <f ca="1">17.4700617576481*OFFSET($L$112,MATCH($N$1,$C$112:$C$113,0)-1,0)</f>
        <v>17.4700617576481</v>
      </c>
      <c r="D132" s="61">
        <f ca="1">13.1250193401153*OFFSET($L$112,MATCH($N$1,$C$112:$C$113,0)-1,0)</f>
        <v>13.125019340115299</v>
      </c>
      <c r="E132" s="61">
        <f ca="1">9.95594880342198*OFFSET($L$112,MATCH($N$1,$C$112:$C$113,0)-1,0)</f>
        <v>9.9559488034219807</v>
      </c>
      <c r="F132" s="62">
        <f ca="1">13.86712210086*OFFSET($L$112,MATCH($N$1,$C$112:$C$113,0)-1,0)</f>
        <v>13.86712210086</v>
      </c>
      <c r="G132" s="206"/>
      <c r="H132" s="206"/>
      <c r="I132" s="206"/>
      <c r="J132" s="206"/>
      <c r="K132" s="206"/>
      <c r="L132" s="206"/>
      <c r="M132" s="206"/>
      <c r="N132" s="206"/>
      <c r="O132" s="206"/>
    </row>
    <row r="133" spans="1:15" ht="18" customHeight="1">
      <c r="A133" s="185"/>
      <c r="B133" s="35" t="s">
        <v>154</v>
      </c>
      <c r="C133" s="61">
        <f ca="1">12.6473190753237*OFFSET($L$112,MATCH($N$1,$C$112:$C$113,0)-1,0)</f>
        <v>12.647319075323701</v>
      </c>
      <c r="D133" s="61">
        <f ca="1">10.2272820127258*OFFSET($L$112,MATCH($N$1,$C$112:$C$113,0)-1,0)</f>
        <v>10.2272820127258</v>
      </c>
      <c r="E133" s="61">
        <f ca="1">8.65895108438603*OFFSET($L$112,MATCH($N$1,$C$112:$C$113,0)-1,0)</f>
        <v>8.6589510843860307</v>
      </c>
      <c r="F133" s="62">
        <f ca="1">10.6822497414075*OFFSET($L$112,MATCH($N$1,$C$112:$C$113,0)-1,0)</f>
        <v>10.682249741407499</v>
      </c>
      <c r="G133" s="206"/>
      <c r="H133" s="206"/>
      <c r="I133" s="206"/>
      <c r="J133" s="206"/>
      <c r="K133" s="206"/>
      <c r="L133" s="206"/>
      <c r="M133" s="206"/>
      <c r="N133" s="206"/>
      <c r="O133" s="206"/>
    </row>
    <row r="134" spans="1:15" ht="18" customHeight="1">
      <c r="A134" s="186"/>
      <c r="B134" s="37" t="s">
        <v>155</v>
      </c>
      <c r="C134" s="66">
        <f ca="1">4.82274268232441*OFFSET($L$112,MATCH($N$1,$C$112:$C$113,0)-1,0)</f>
        <v>4.8227426823244102</v>
      </c>
      <c r="D134" s="66">
        <f ca="1">2.89773732738947*OFFSET($L$112,MATCH($N$1,$C$112:$C$113,0)-1,0)</f>
        <v>2.89773732738947</v>
      </c>
      <c r="E134" s="66">
        <f ca="1">1.29699771903595*OFFSET($L$112,MATCH($N$1,$C$112:$C$113,0)-1,0)</f>
        <v>1.2969977190359501</v>
      </c>
      <c r="F134" s="67">
        <f ca="1">3.18487235945257*OFFSET($L$112,MATCH($N$1,$C$112:$C$113,0)-1,0)</f>
        <v>3.1848723594525699</v>
      </c>
      <c r="G134" s="206"/>
      <c r="H134" s="206"/>
      <c r="I134" s="206"/>
      <c r="J134" s="206"/>
      <c r="K134" s="206"/>
      <c r="L134" s="206"/>
      <c r="M134" s="206"/>
      <c r="N134" s="206"/>
      <c r="O134" s="206"/>
    </row>
    <row r="135" spans="1:15" ht="18" customHeight="1">
      <c r="A135" s="187" t="s">
        <v>254</v>
      </c>
      <c r="B135" s="35" t="s">
        <v>255</v>
      </c>
      <c r="C135" s="68">
        <f ca="1">236.889359375*OFFSET($L$112,MATCH($N$1,$C$112:$C$113,0)-1,0)</f>
        <v>236.889359375</v>
      </c>
      <c r="D135" s="68">
        <f ca="1">222.8948984375*OFFSET($L$112,MATCH($N$1,$C$112:$C$113,0)-1,0)</f>
        <v>222.89489843749999</v>
      </c>
      <c r="E135" s="68">
        <f ca="1">205.472*OFFSET($L$112,MATCH($N$1,$C$112:$C$113,0)-1,0)</f>
        <v>205.47200000000001</v>
      </c>
      <c r="F135" s="69">
        <f ca="1">221.971859375*OFFSET($L$112,MATCH($N$1,$C$112:$C$113,0)-1,0)</f>
        <v>221.97185937500001</v>
      </c>
      <c r="G135" s="206"/>
      <c r="H135" s="206"/>
      <c r="I135" s="206"/>
      <c r="J135" s="206"/>
      <c r="K135" s="206"/>
      <c r="L135" s="206"/>
      <c r="M135" s="206"/>
      <c r="N135" s="206"/>
      <c r="O135" s="206"/>
    </row>
    <row r="136" spans="1:15" ht="18" customHeight="1">
      <c r="A136" s="188"/>
      <c r="B136" s="35" t="s">
        <v>256</v>
      </c>
      <c r="C136" s="30">
        <v>451428.58937442303</v>
      </c>
      <c r="D136" s="30">
        <v>424633.35414701334</v>
      </c>
      <c r="E136" s="30">
        <v>393042.87031626323</v>
      </c>
      <c r="F136" s="70">
        <v>423342.30769230769</v>
      </c>
      <c r="G136" s="206"/>
      <c r="H136" s="206"/>
      <c r="I136" s="206"/>
      <c r="J136" s="206"/>
      <c r="K136" s="206"/>
      <c r="L136" s="206"/>
      <c r="M136" s="206"/>
      <c r="N136" s="206"/>
      <c r="O136" s="206"/>
    </row>
    <row r="137" spans="1:15" ht="18" customHeight="1">
      <c r="A137" s="188"/>
      <c r="B137" s="35" t="s">
        <v>257</v>
      </c>
      <c r="C137" s="30">
        <v>1738.173828125</v>
      </c>
      <c r="D137" s="30">
        <v>2053.0218320350141</v>
      </c>
      <c r="E137" s="30">
        <v>2164.673583984375</v>
      </c>
      <c r="F137" s="70">
        <v>1975.7493896484375</v>
      </c>
      <c r="G137" s="206"/>
      <c r="H137" s="206"/>
      <c r="I137" s="206"/>
      <c r="J137" s="206"/>
      <c r="K137" s="206"/>
      <c r="L137" s="206"/>
      <c r="M137" s="206"/>
      <c r="N137" s="206"/>
      <c r="O137" s="206"/>
    </row>
    <row r="138" spans="1:15" ht="18" customHeight="1">
      <c r="A138" s="188"/>
      <c r="B138" s="35" t="s">
        <v>258</v>
      </c>
      <c r="C138" s="30">
        <f ca="1">912.115214496098*OFFSET($L$112,MATCH($N$1,$C$112:$C$113,0)-1,0)</f>
        <v>912.11521449609802</v>
      </c>
      <c r="D138" s="30">
        <f ca="1">1077.65461255544*OFFSET($L$112,MATCH($N$1,$C$112:$C$113,0)-1,0)</f>
        <v>1077.6546125554401</v>
      </c>
      <c r="E138" s="30">
        <f ca="1">1131.63179958091*OFFSET($L$112,MATCH($N$1,$C$112:$C$113,0)-1,0)</f>
        <v>1131.63179958091</v>
      </c>
      <c r="F138" s="70">
        <f ca="1">1035.94838811857*OFFSET($L$112,MATCH($N$1,$C$112:$C$113,0)-1,0)</f>
        <v>1035.9483881185699</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287.365949640411*OFFSET($L$112,MATCH($N$1,$C$112:$C$113,0)-1,0)</f>
        <v>287.36594964041097</v>
      </c>
      <c r="D139" s="30">
        <f ca="1">431.364391350458*OFFSET($L$112,MATCH($N$1,$C$112:$C$113,0)-1,0)</f>
        <v>431.36439135045799</v>
      </c>
      <c r="E139" s="30">
        <f ca="1">605.778294301493*OFFSET($L$112,MATCH($N$1,$C$112:$C$113,0)-1,0)</f>
        <v>605.77829430149302</v>
      </c>
      <c r="F139" s="70">
        <f ca="1">402.308296830871*OFFSET($L$112,MATCH($N$1,$C$112:$C$113,0)-1,0)</f>
        <v>402.30829683087097</v>
      </c>
      <c r="G139" s="206"/>
      <c r="H139" s="206"/>
      <c r="I139" s="46"/>
      <c r="J139" s="206"/>
      <c r="K139" s="71" t="s">
        <v>260</v>
      </c>
      <c r="L139" s="72">
        <f t="shared" ref="L139:M141" ca="1" si="2">C140</f>
        <v>2236.8672499999998</v>
      </c>
      <c r="M139" s="72">
        <f t="shared" ca="1" si="2"/>
        <v>1396.2603750000001</v>
      </c>
      <c r="N139" s="72">
        <f ca="1">E140</f>
        <v>829.79862500000002</v>
      </c>
      <c r="O139" s="72"/>
    </row>
    <row r="140" spans="1:15" ht="18" customHeight="1">
      <c r="A140" s="166" t="s">
        <v>261</v>
      </c>
      <c r="B140" s="33" t="s">
        <v>262</v>
      </c>
      <c r="C140" s="73">
        <f ca="1">2236.86725*OFFSET($L$112,MATCH($N$1,$C$112:$C$113,0)-1,0)</f>
        <v>2236.8672499999998</v>
      </c>
      <c r="D140" s="73">
        <f ca="1">1396.260375*OFFSET($L$112,MATCH($N$1,$C$112:$C$113,0)-1,0)</f>
        <v>1396.2603750000001</v>
      </c>
      <c r="E140" s="73">
        <f ca="1">829.798625*OFFSET($L$112,MATCH($N$1,$C$112:$C$113,0)-1,0)</f>
        <v>829.79862500000002</v>
      </c>
      <c r="F140" s="74">
        <f ca="1">1470.068625*OFFSET($L$112,MATCH($N$1,$C$112:$C$113,0)-1,0)</f>
        <v>1470.0686250000001</v>
      </c>
      <c r="G140" s="206"/>
      <c r="H140" s="206"/>
      <c r="I140" s="46"/>
      <c r="J140" s="206"/>
      <c r="K140" s="71" t="s">
        <v>263</v>
      </c>
      <c r="L140" s="72">
        <f t="shared" ca="1" si="2"/>
        <v>1636.6005</v>
      </c>
      <c r="M140" s="72">
        <f t="shared" ca="1" si="2"/>
        <v>1096.5995625</v>
      </c>
      <c r="N140" s="72">
        <f ca="1">E141</f>
        <v>724.71531249999998</v>
      </c>
      <c r="O140" s="72"/>
    </row>
    <row r="141" spans="1:15" ht="18" customHeight="1">
      <c r="A141" s="167"/>
      <c r="B141" s="35" t="s">
        <v>264</v>
      </c>
      <c r="C141" s="30">
        <f ca="1">1636.6005*OFFSET($L$112,MATCH($N$1,$C$112:$C$113,0)-1,0)</f>
        <v>1636.6005</v>
      </c>
      <c r="D141" s="30">
        <f ca="1">1096.5995625*OFFSET($L$112,MATCH($N$1,$C$112:$C$113,0)-1,0)</f>
        <v>1096.5995625</v>
      </c>
      <c r="E141" s="30">
        <f ca="1">724.7153125*OFFSET($L$112,MATCH($N$1,$C$112:$C$113,0)-1,0)</f>
        <v>724.71531249999998</v>
      </c>
      <c r="F141" s="70">
        <f ca="1">1141.86175*OFFSET($L$112,MATCH($N$1,$C$112:$C$113,0)-1,0)</f>
        <v>1141.86175</v>
      </c>
      <c r="G141" s="206"/>
      <c r="H141" s="206"/>
      <c r="I141" s="46"/>
      <c r="J141" s="206"/>
      <c r="K141" s="71" t="s">
        <v>265</v>
      </c>
      <c r="L141" s="72">
        <f t="shared" ca="1" si="2"/>
        <v>600.26675</v>
      </c>
      <c r="M141" s="72">
        <f t="shared" ca="1" si="2"/>
        <v>299.66081250000002</v>
      </c>
      <c r="N141" s="72">
        <f ca="1">E142</f>
        <v>105.08331250000001</v>
      </c>
      <c r="O141" s="72"/>
    </row>
    <row r="142" spans="1:15" ht="18" customHeight="1">
      <c r="A142" s="168"/>
      <c r="B142" s="37" t="s">
        <v>266</v>
      </c>
      <c r="C142" s="38">
        <f ca="1">600.26675*OFFSET($L$112,MATCH($N$1,$C$112:$C$113,0)-1,0)</f>
        <v>600.26675</v>
      </c>
      <c r="D142" s="38">
        <f ca="1">299.6608125*OFFSET($L$112,MATCH($N$1,$C$112:$C$113,0)-1,0)</f>
        <v>299.66081250000002</v>
      </c>
      <c r="E142" s="38">
        <f ca="1">105.0833125*OFFSET($L$112,MATCH($N$1,$C$112:$C$113,0)-1,0)</f>
        <v>105.08331250000001</v>
      </c>
      <c r="F142" s="63">
        <f ca="1">328.20696875*OFFSET($L$112,MATCH($N$1,$C$112:$C$113,0)-1,0)</f>
        <v>328.20696874999999</v>
      </c>
      <c r="G142" s="206"/>
      <c r="H142" s="206"/>
      <c r="I142" s="46"/>
      <c r="J142" s="206"/>
      <c r="K142" s="71" t="s">
        <v>267</v>
      </c>
      <c r="L142" s="75">
        <f ca="1">IFERROR(L140/L$139,"")</f>
        <v>0.73164846952808671</v>
      </c>
      <c r="M142" s="75">
        <f t="shared" ref="M142:N143" ca="1" si="3">IFERROR(M140/M$139,"")</f>
        <v>0.78538328676698288</v>
      </c>
      <c r="N142" s="75">
        <f t="shared" ca="1" si="3"/>
        <v>0.87336287463720486</v>
      </c>
      <c r="O142" s="75"/>
    </row>
    <row r="143" spans="1:15" ht="18" customHeight="1">
      <c r="A143" s="206"/>
      <c r="B143" s="206"/>
      <c r="C143" s="206"/>
      <c r="D143" s="206"/>
      <c r="E143" s="206"/>
      <c r="F143" s="206"/>
      <c r="G143" s="206"/>
      <c r="H143" s="206"/>
      <c r="I143" s="46"/>
      <c r="J143" s="206"/>
      <c r="K143" s="71" t="s">
        <v>268</v>
      </c>
      <c r="L143" s="75">
        <f ca="1">IFERROR(L141/L$139,"")</f>
        <v>0.26835153047191335</v>
      </c>
      <c r="M143" s="75">
        <f t="shared" ca="1" si="3"/>
        <v>0.21461671323301718</v>
      </c>
      <c r="N143" s="75">
        <f t="shared" ca="1" si="3"/>
        <v>0.12663712536279512</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9</v>
      </c>
      <c r="B161" s="51"/>
      <c r="C161" s="76" t="s">
        <v>249</v>
      </c>
      <c r="D161" s="76" t="s">
        <v>270</v>
      </c>
      <c r="E161" s="76" t="s">
        <v>251</v>
      </c>
      <c r="F161" s="76" t="s">
        <v>271</v>
      </c>
      <c r="G161" s="77">
        <v>10</v>
      </c>
      <c r="H161" s="76"/>
      <c r="I161" s="76" t="s">
        <v>249</v>
      </c>
      <c r="J161" s="76" t="s">
        <v>270</v>
      </c>
      <c r="K161" s="76" t="s">
        <v>251</v>
      </c>
      <c r="L161" s="51" t="s">
        <v>271</v>
      </c>
      <c r="R161" s="206"/>
      <c r="S161" s="206"/>
    </row>
    <row r="162" spans="1:19" s="46" customFormat="1">
      <c r="A162" s="47">
        <v>1</v>
      </c>
      <c r="B162" s="51" t="s">
        <v>241</v>
      </c>
      <c r="C162" s="51">
        <v>0.18938238137027205</v>
      </c>
      <c r="D162" s="51">
        <v>0.23630519597361097</v>
      </c>
      <c r="E162" s="51">
        <v>0.12883755739234834</v>
      </c>
      <c r="F162" s="47">
        <v>553960</v>
      </c>
      <c r="G162" s="47">
        <v>1</v>
      </c>
      <c r="H162" s="51" t="s">
        <v>161</v>
      </c>
      <c r="I162" s="51">
        <v>0.28995003138824554</v>
      </c>
      <c r="J162" s="51">
        <v>0.28418857720806068</v>
      </c>
      <c r="K162" s="51">
        <v>0.13597624932158536</v>
      </c>
      <c r="L162" s="47">
        <v>12153634</v>
      </c>
      <c r="R162" s="206"/>
      <c r="S162" s="206"/>
    </row>
    <row r="163" spans="1:19" s="46" customFormat="1">
      <c r="A163" s="47">
        <v>2</v>
      </c>
      <c r="B163" s="51" t="s">
        <v>161</v>
      </c>
      <c r="C163" s="51">
        <v>0.21469774560382973</v>
      </c>
      <c r="D163" s="51">
        <v>0.21223878869263219</v>
      </c>
      <c r="E163" s="51">
        <v>9.1976373097667041E-2</v>
      </c>
      <c r="F163" s="47">
        <v>12153634</v>
      </c>
      <c r="G163" s="47">
        <v>2</v>
      </c>
      <c r="H163" s="51" t="s">
        <v>241</v>
      </c>
      <c r="I163" s="51">
        <v>0.21060594273910072</v>
      </c>
      <c r="J163" s="51">
        <v>0.26666615415985256</v>
      </c>
      <c r="K163" s="51">
        <v>0.15756634067438846</v>
      </c>
      <c r="L163" s="47">
        <v>553960</v>
      </c>
      <c r="N163" s="46" t="s">
        <v>272</v>
      </c>
      <c r="R163" s="206"/>
      <c r="S163" s="206"/>
    </row>
    <row r="164" spans="1:19" s="46" customFormat="1">
      <c r="A164" s="47">
        <v>3</v>
      </c>
      <c r="B164" s="51" t="s">
        <v>157</v>
      </c>
      <c r="C164" s="51">
        <v>0.13461859114222452</v>
      </c>
      <c r="D164" s="51">
        <v>0.14390329919897502</v>
      </c>
      <c r="E164" s="51">
        <v>0.18277290748001782</v>
      </c>
      <c r="F164" s="47">
        <v>3050596</v>
      </c>
      <c r="G164" s="47">
        <v>3</v>
      </c>
      <c r="H164" s="51" t="s">
        <v>157</v>
      </c>
      <c r="I164" s="51">
        <v>8.5409070388853814E-2</v>
      </c>
      <c r="J164" s="51">
        <v>0.10087084704341347</v>
      </c>
      <c r="K164" s="51">
        <v>0.10701706514665527</v>
      </c>
      <c r="L164" s="47">
        <v>3050596</v>
      </c>
      <c r="N164" s="46" t="s">
        <v>273</v>
      </c>
      <c r="R164" s="206"/>
      <c r="S164" s="206"/>
    </row>
    <row r="165" spans="1:19" s="46" customFormat="1">
      <c r="A165" s="47">
        <v>4</v>
      </c>
      <c r="B165" s="51" t="s">
        <v>345</v>
      </c>
      <c r="C165" s="51">
        <v>7.0851069226423133E-2</v>
      </c>
      <c r="D165" s="51">
        <v>9.8744710522845613E-2</v>
      </c>
      <c r="E165" s="51">
        <v>0</v>
      </c>
      <c r="F165" s="47">
        <v>11115023</v>
      </c>
      <c r="G165" s="47">
        <v>4</v>
      </c>
      <c r="H165" s="51" t="s">
        <v>310</v>
      </c>
      <c r="I165" s="51">
        <v>0.14614399474186004</v>
      </c>
      <c r="J165" s="51">
        <v>6.7372435221235621E-2</v>
      </c>
      <c r="K165" s="51">
        <v>0</v>
      </c>
      <c r="L165" s="47">
        <v>1692097</v>
      </c>
      <c r="R165" s="206"/>
      <c r="S165" s="206"/>
    </row>
    <row r="166" spans="1:19" s="46" customFormat="1">
      <c r="A166" s="47">
        <v>5</v>
      </c>
      <c r="B166" s="51" t="s">
        <v>329</v>
      </c>
      <c r="C166" s="51">
        <v>0</v>
      </c>
      <c r="D166" s="51">
        <v>9.0914858505547397E-2</v>
      </c>
      <c r="E166" s="51">
        <v>0.13549487443090935</v>
      </c>
      <c r="F166" s="47">
        <v>2480382</v>
      </c>
      <c r="G166" s="47">
        <v>5</v>
      </c>
      <c r="H166" s="51" t="s">
        <v>169</v>
      </c>
      <c r="I166" s="51">
        <v>0</v>
      </c>
      <c r="J166" s="51">
        <v>9.4769391780094733E-2</v>
      </c>
      <c r="K166" s="51">
        <v>0</v>
      </c>
      <c r="L166" s="47">
        <v>7434864</v>
      </c>
      <c r="R166" s="206"/>
      <c r="S166" s="206"/>
    </row>
    <row r="167" spans="1:19" s="46" customFormat="1">
      <c r="A167" s="47">
        <v>6</v>
      </c>
      <c r="B167" s="51" t="s">
        <v>160</v>
      </c>
      <c r="C167" s="51">
        <v>0</v>
      </c>
      <c r="D167" s="51">
        <v>0</v>
      </c>
      <c r="E167" s="51">
        <v>0.25595069656408881</v>
      </c>
      <c r="F167" s="47">
        <v>3689192</v>
      </c>
      <c r="G167" s="47">
        <v>6</v>
      </c>
      <c r="H167" s="51" t="s">
        <v>160</v>
      </c>
      <c r="I167" s="51">
        <v>0</v>
      </c>
      <c r="J167" s="51">
        <v>0</v>
      </c>
      <c r="K167" s="51">
        <v>0.36649208030928676</v>
      </c>
      <c r="L167" s="47">
        <v>3689192</v>
      </c>
      <c r="R167" s="206"/>
      <c r="S167" s="206"/>
    </row>
    <row r="168" spans="1:19" s="46" customFormat="1">
      <c r="A168" s="47">
        <v>7</v>
      </c>
      <c r="B168" s="51" t="s">
        <v>310</v>
      </c>
      <c r="C168" s="51">
        <v>0.11523229112114622</v>
      </c>
      <c r="D168" s="51">
        <v>0</v>
      </c>
      <c r="E168" s="51">
        <v>0</v>
      </c>
      <c r="F168" s="47">
        <v>1692097</v>
      </c>
      <c r="G168" s="47">
        <v>7</v>
      </c>
      <c r="H168" s="51" t="s">
        <v>329</v>
      </c>
      <c r="I168" s="51">
        <v>0</v>
      </c>
      <c r="J168" s="51">
        <v>0</v>
      </c>
      <c r="K168" s="51">
        <v>7.3578117023909553E-2</v>
      </c>
      <c r="L168" s="47">
        <v>2480382</v>
      </c>
      <c r="R168" s="206"/>
      <c r="S168" s="206"/>
    </row>
    <row r="169" spans="1:19" s="46" customFormat="1">
      <c r="A169" s="47">
        <v>8</v>
      </c>
      <c r="B169" s="51" t="s">
        <v>245</v>
      </c>
      <c r="C169" s="51">
        <v>0.27521792153610436</v>
      </c>
      <c r="D169" s="51">
        <v>0.21789314710638885</v>
      </c>
      <c r="E169" s="51">
        <v>0.20496759103496864</v>
      </c>
      <c r="F169" s="47">
        <v>5920853</v>
      </c>
      <c r="G169" s="47">
        <v>8</v>
      </c>
      <c r="H169" s="51" t="s">
        <v>343</v>
      </c>
      <c r="I169" s="51">
        <v>4.4109804550940733E-2</v>
      </c>
      <c r="J169" s="51">
        <v>0</v>
      </c>
      <c r="K169" s="51">
        <v>0</v>
      </c>
      <c r="L169" s="47">
        <v>8497745</v>
      </c>
      <c r="R169" s="206"/>
      <c r="S169" s="206"/>
    </row>
    <row r="170" spans="1:19" s="46" customFormat="1">
      <c r="A170" s="47">
        <v>9</v>
      </c>
      <c r="B170" s="51"/>
      <c r="C170" s="51">
        <v>0</v>
      </c>
      <c r="D170" s="51">
        <v>0</v>
      </c>
      <c r="E170" s="51">
        <v>0</v>
      </c>
      <c r="F170" s="47"/>
      <c r="G170" s="47">
        <v>9</v>
      </c>
      <c r="H170" s="51" t="s">
        <v>245</v>
      </c>
      <c r="I170" s="51">
        <v>0.22378115619099925</v>
      </c>
      <c r="J170" s="51">
        <v>0.18613259458734299</v>
      </c>
      <c r="K170" s="51">
        <v>0.15937014752417467</v>
      </c>
      <c r="L170" s="47">
        <v>5920853</v>
      </c>
      <c r="R170" s="206"/>
      <c r="S170" s="206"/>
    </row>
    <row r="171" spans="1:19" s="46" customFormat="1">
      <c r="A171" s="47">
        <v>10</v>
      </c>
      <c r="B171" s="51"/>
      <c r="C171" s="51">
        <v>0</v>
      </c>
      <c r="D171" s="51">
        <v>0</v>
      </c>
      <c r="E171" s="51">
        <v>0</v>
      </c>
      <c r="F171" s="47"/>
      <c r="G171" s="47">
        <v>10</v>
      </c>
      <c r="H171" s="51"/>
      <c r="I171" s="51">
        <v>0</v>
      </c>
      <c r="J171" s="51">
        <v>0</v>
      </c>
      <c r="K171" s="51">
        <v>0</v>
      </c>
      <c r="L171" s="47"/>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E8C1A394-C429-4735-9288-CDC78B8ED367}">
      <formula1>$C$112:$C$113</formula1>
    </dataValidation>
  </dataValidations>
  <hyperlinks>
    <hyperlink ref="O1:P1" location="Home_page" display="Back to home page" xr:uid="{381E5D61-CBCF-4FDB-B034-5FD9F08430BB}"/>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3EBEC417-D30D-4878-AC45-8043DFCCD67C}">
          <x14:colorSeries rgb="FF323232"/>
          <x14:colorNegative rgb="FFD00000"/>
          <x14:colorAxis rgb="FF000000"/>
          <x14:colorMarkers rgb="FFD00000"/>
          <x14:colorFirst rgb="FFD00000"/>
          <x14:colorLast rgb="FFD00000"/>
          <x14:colorHigh rgb="FFD00000"/>
          <x14:colorLow rgb="FFD00000"/>
          <x14:sparklines>
            <x14:sparkline>
              <xm:f>'NSWOS demersal u24m o300kW'!D3:N3</xm:f>
              <xm:sqref>C3</xm:sqref>
            </x14:sparkline>
            <x14:sparkline>
              <xm:f>'NSWOS demersal u24m o300kW'!D4:N4</xm:f>
              <xm:sqref>C4</xm:sqref>
            </x14:sparkline>
            <x14:sparkline>
              <xm:f>'NSWOS demersal u24m o300kW'!D5:N5</xm:f>
              <xm:sqref>C5</xm:sqref>
            </x14:sparkline>
            <x14:sparkline>
              <xm:f>'NSWOS demersal u24m o300kW'!D6:N6</xm:f>
              <xm:sqref>C6</xm:sqref>
            </x14:sparkline>
            <x14:sparkline>
              <xm:f>'NSWOS demersal u24m o300kW'!D7:N7</xm:f>
              <xm:sqref>C7</xm:sqref>
            </x14:sparkline>
            <x14:sparkline>
              <xm:f>'NSWOS demersal u24m o300kW'!D8:N8</xm:f>
              <xm:sqref>C8</xm:sqref>
            </x14:sparkline>
            <x14:sparkline>
              <xm:f>'NSWOS demersal u24m o300kW'!D9:N9</xm:f>
              <xm:sqref>C9</xm:sqref>
            </x14:sparkline>
            <x14:sparkline>
              <xm:f>'NSWOS demersal u24m o300kW'!D10:N10</xm:f>
              <xm:sqref>C10</xm:sqref>
            </x14:sparkline>
            <x14:sparkline>
              <xm:f>'NSWOS demersal u24m o300kW'!D11:N11</xm:f>
              <xm:sqref>C11</xm:sqref>
            </x14:sparkline>
            <x14:sparkline>
              <xm:f>'NSWOS demersal u24m o300kW'!D12:N12</xm:f>
              <xm:sqref>C12</xm:sqref>
            </x14:sparkline>
            <x14:sparkline>
              <xm:f>'NSWOS demersal u24m o300kW'!D13:N13</xm:f>
              <xm:sqref>C13</xm:sqref>
            </x14:sparkline>
            <x14:sparkline>
              <xm:f>'NSWOS demersal u24m o300kW'!D14:N14</xm:f>
              <xm:sqref>C14</xm:sqref>
            </x14:sparkline>
            <x14:sparkline>
              <xm:f>'NSWOS demersal u24m o300kW'!D15:N15</xm:f>
              <xm:sqref>C15</xm:sqref>
            </x14:sparkline>
            <x14:sparkline>
              <xm:f>'NSWOS demersal u24m o300kW'!D16:N16</xm:f>
              <xm:sqref>C16</xm:sqref>
            </x14:sparkline>
            <x14:sparkline>
              <xm:f>'NSWOS demersal u24m o300kW'!D17:N17</xm:f>
              <xm:sqref>C17</xm:sqref>
            </x14:sparkline>
            <x14:sparkline>
              <xm:f>'NSWOS demersal u24m o300kW'!D18:N18</xm:f>
              <xm:sqref>C18</xm:sqref>
            </x14:sparkline>
            <x14:sparkline>
              <xm:f>'NSWOS demersal u24m o300kW'!D19:N19</xm:f>
              <xm:sqref>C19</xm:sqref>
            </x14:sparkline>
            <x14:sparkline>
              <xm:f>'NSWOS demersal u24m o300kW'!D20:N20</xm:f>
              <xm:sqref>C20</xm:sqref>
            </x14:sparkline>
            <x14:sparkline>
              <xm:f>'NSWOS demersal u24m o300kW'!D21:N21</xm:f>
              <xm:sqref>C21</xm:sqref>
            </x14:sparkline>
            <x14:sparkline>
              <xm:f>'NSWOS demersal u24m o300kW'!D22:N22</xm:f>
              <xm:sqref>C22</xm:sqref>
            </x14:sparkline>
            <x14:sparkline>
              <xm:f>'NSWOS demersal u24m o300kW'!D23:N23</xm:f>
              <xm:sqref>C23</xm:sqref>
            </x14:sparkline>
            <x14:sparkline>
              <xm:f>'NSWOS demersal u24m o300kW'!D24:N24</xm:f>
              <xm:sqref>C24</xm:sqref>
            </x14:sparkline>
            <x14:sparkline>
              <xm:f>'NSWOS demersal u24m o300kW'!D25:N25</xm:f>
              <xm:sqref>C25</xm:sqref>
            </x14:sparkline>
            <x14:sparkline>
              <xm:f>'NSWOS demersal u24m o300kW'!D26:N26</xm:f>
              <xm:sqref>C26</xm:sqref>
            </x14:sparkline>
            <x14:sparkline>
              <xm:f>'NSWOS demersal u24m o300kW'!D27:N27</xm:f>
              <xm:sqref>C27</xm:sqref>
            </x14:sparkline>
            <x14:sparkline>
              <xm:f>'NSWOS demersal u24m o300kW'!D28:N28</xm:f>
              <xm:sqref>C28</xm:sqref>
            </x14:sparkline>
            <x14:sparkline>
              <xm:f>'NSWOS demersal u24m o300kW'!D29:N29</xm:f>
              <xm:sqref>C29</xm:sqref>
            </x14:sparkline>
            <x14:sparkline>
              <xm:f>'NSWOS demersal u24m o300kW'!D30:N30</xm:f>
              <xm:sqref>C30</xm:sqref>
            </x14:sparkline>
            <x14:sparkline>
              <xm:f>'NSWOS demersal u24m o300kW'!D31:N31</xm:f>
              <xm:sqref>C31</xm:sqref>
            </x14:sparkline>
            <x14:sparkline>
              <xm:f>'NSWOS demersal u24m o300kW'!D32:N32</xm:f>
              <xm:sqref>C32</xm:sqref>
            </x14:sparkline>
            <x14:sparkline>
              <xm:f>'NSWOS demersal u24m o300kW'!D33:N33</xm:f>
              <xm:sqref>C33</xm:sqref>
            </x14:sparkline>
            <x14:sparkline>
              <xm:f>'NSWOS demersal u24m o300kW'!D34:N34</xm:f>
              <xm:sqref>C34</xm:sqref>
            </x14:sparkline>
            <x14:sparkline>
              <xm:f>'NSWOS demersal u24m o300kW'!D35:N35</xm:f>
              <xm:sqref>C35</xm:sqref>
            </x14:sparkline>
            <x14:sparkline>
              <xm:f>'NSWOS demersal u24m o300kW'!D36:N36</xm:f>
              <xm:sqref>C36</xm:sqref>
            </x14:sparkline>
            <x14:sparkline>
              <xm:f>'NSWOS demersal u24m o300kW'!D37:N37</xm:f>
              <xm:sqref>C37</xm:sqref>
            </x14:sparkline>
            <x14:sparkline>
              <xm:f>'NSWOS demersal u24m o300kW'!D38:N38</xm:f>
              <xm:sqref>C38</xm:sqref>
            </x14:sparkline>
            <x14:sparkline>
              <xm:f>'NSWOS demersal u24m o300kW'!D39:N39</xm:f>
              <xm:sqref>C39</xm:sqref>
            </x14:sparkline>
            <x14:sparkline>
              <xm:f>'NSWOS demersal u24m o300kW'!D40:N40</xm:f>
              <xm:sqref>C40</xm:sqref>
            </x14:sparkline>
            <x14:sparkline>
              <xm:f>'NSWOS demersal u24m o300kW'!D41:N41</xm:f>
              <xm:sqref>C41</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5BF7E-5F64-4FB4-BD10-D234EEA9FD2A}">
  <sheetPr codeName="Feuil25">
    <pageSetUpPr fitToPage="1"/>
  </sheetPr>
  <dimension ref="A1:S192"/>
  <sheetViews>
    <sheetView topLeftCell="A49"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28</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36</v>
      </c>
      <c r="E3" s="27">
        <v>28</v>
      </c>
      <c r="F3" s="27">
        <v>22</v>
      </c>
      <c r="G3" s="27">
        <v>21</v>
      </c>
      <c r="H3" s="27">
        <v>15</v>
      </c>
      <c r="I3" s="27">
        <v>22</v>
      </c>
      <c r="J3" s="27">
        <v>12</v>
      </c>
      <c r="K3" s="27">
        <v>19</v>
      </c>
      <c r="L3" s="27">
        <v>19</v>
      </c>
      <c r="M3" s="27">
        <v>18</v>
      </c>
      <c r="N3" s="27">
        <v>12</v>
      </c>
      <c r="O3" s="28">
        <f t="shared" ref="O3:O41" si="0">IF(N3=0,"",IFERROR(IF(AND(N3&gt;0,D3&lt;0),"na",IF(AND(N3&lt;0,D3&lt;0),-1,1)*(N3-D3)/D3),""))</f>
        <v>-0.66666666666666663</v>
      </c>
      <c r="P3" s="28">
        <f t="shared" ref="P3:P41" si="1">IF(N3=0,"",IFERROR(IF(AND(N3&gt;0,J3&lt;0),"na",IF(AND(N3&lt;0,J3&lt;0),-1,1)*(N3-J3)/J3),""))</f>
        <v>0</v>
      </c>
      <c r="Q3" s="206"/>
    </row>
    <row r="4" spans="1:17" ht="18" customHeight="1">
      <c r="A4" s="172"/>
      <c r="B4" s="29" t="s">
        <v>184</v>
      </c>
      <c r="C4" s="30"/>
      <c r="D4" s="30">
        <v>7511</v>
      </c>
      <c r="E4" s="30">
        <v>5598</v>
      </c>
      <c r="F4" s="30">
        <v>4649</v>
      </c>
      <c r="G4" s="30">
        <v>4524</v>
      </c>
      <c r="H4" s="30">
        <v>2954</v>
      </c>
      <c r="I4" s="30">
        <v>4655</v>
      </c>
      <c r="J4" s="30">
        <v>2635</v>
      </c>
      <c r="K4" s="30">
        <v>3755</v>
      </c>
      <c r="L4" s="30">
        <v>4125</v>
      </c>
      <c r="M4" s="30">
        <v>3704</v>
      </c>
      <c r="N4" s="30">
        <v>2830</v>
      </c>
      <c r="O4" s="28">
        <f t="shared" si="0"/>
        <v>-0.62321927839169222</v>
      </c>
      <c r="P4" s="28">
        <f t="shared" si="1"/>
        <v>7.4003795066413663E-2</v>
      </c>
      <c r="Q4" s="206"/>
    </row>
    <row r="5" spans="1:17" ht="18" customHeight="1">
      <c r="A5" s="172"/>
      <c r="B5" s="29" t="s">
        <v>185</v>
      </c>
      <c r="C5" s="30"/>
      <c r="D5" s="30">
        <v>1970</v>
      </c>
      <c r="E5" s="30">
        <v>1483</v>
      </c>
      <c r="F5" s="30">
        <v>1256</v>
      </c>
      <c r="G5" s="30">
        <v>1358</v>
      </c>
      <c r="H5" s="30">
        <v>779</v>
      </c>
      <c r="I5" s="30">
        <v>1373</v>
      </c>
      <c r="J5" s="30">
        <v>801</v>
      </c>
      <c r="K5" s="30">
        <v>978</v>
      </c>
      <c r="L5" s="30">
        <v>1178</v>
      </c>
      <c r="M5" s="30">
        <v>963</v>
      </c>
      <c r="N5" s="30">
        <v>758</v>
      </c>
      <c r="O5" s="28">
        <f t="shared" si="0"/>
        <v>-0.61522842639593911</v>
      </c>
      <c r="P5" s="28">
        <f t="shared" si="1"/>
        <v>-5.3682896379525592E-2</v>
      </c>
      <c r="Q5" s="207"/>
    </row>
    <row r="6" spans="1:17" ht="18" customHeight="1">
      <c r="A6" s="172"/>
      <c r="B6" s="29" t="s">
        <v>186</v>
      </c>
      <c r="C6" s="30"/>
      <c r="D6" s="30">
        <v>6606.44970703125</v>
      </c>
      <c r="E6" s="30">
        <v>4943.32861328125</v>
      </c>
      <c r="F6" s="30">
        <v>3976.4013671875</v>
      </c>
      <c r="G6" s="30">
        <v>4024.2470703125</v>
      </c>
      <c r="H6" s="30">
        <v>2543.771240234375</v>
      </c>
      <c r="I6" s="30">
        <v>4118.82763671875</v>
      </c>
      <c r="J6" s="30">
        <v>2350.52685546875</v>
      </c>
      <c r="K6" s="30">
        <v>3302.688232421875</v>
      </c>
      <c r="L6" s="30">
        <v>3584.820068359375</v>
      </c>
      <c r="M6" s="30">
        <v>3175.72265625</v>
      </c>
      <c r="N6" s="30">
        <v>2379.5234375</v>
      </c>
      <c r="O6" s="28">
        <f t="shared" si="0"/>
        <v>-0.6398181257676917</v>
      </c>
      <c r="P6" s="28">
        <f t="shared" si="1"/>
        <v>1.2336205376163381E-2</v>
      </c>
      <c r="Q6" s="206"/>
    </row>
    <row r="7" spans="1:17" ht="18" customHeight="1">
      <c r="A7" s="172"/>
      <c r="B7" s="29" t="s">
        <v>187</v>
      </c>
      <c r="C7" s="30"/>
      <c r="D7" s="30">
        <v>5278.73388671875</v>
      </c>
      <c r="E7" s="30">
        <v>3958.095458984375</v>
      </c>
      <c r="F7" s="30">
        <v>3767.992919921875</v>
      </c>
      <c r="G7" s="30">
        <v>4452.98583984375</v>
      </c>
      <c r="H7" s="30">
        <v>1750.3048095703125</v>
      </c>
      <c r="I7" s="30">
        <v>2149.273681640625</v>
      </c>
      <c r="J7" s="30">
        <v>1661.08544921875</v>
      </c>
      <c r="K7" s="30">
        <v>1641.4727783203125</v>
      </c>
      <c r="L7" s="30">
        <v>2455.8896484375</v>
      </c>
      <c r="M7" s="30">
        <v>2092.739501953125</v>
      </c>
      <c r="N7" s="30">
        <v>1594.2882080078125</v>
      </c>
      <c r="O7" s="28">
        <f t="shared" si="0"/>
        <v>-0.69797905289012041</v>
      </c>
      <c r="P7" s="28">
        <f t="shared" si="1"/>
        <v>-4.0213007249177889E-2</v>
      </c>
      <c r="Q7" s="206"/>
    </row>
    <row r="8" spans="1:17" ht="18" customHeight="1">
      <c r="A8" s="172"/>
      <c r="B8" s="29" t="s">
        <v>188</v>
      </c>
      <c r="C8" s="31"/>
      <c r="D8" s="31">
        <f ca="1">9.768822*OFFSET(D$112,MATCH($N$1,$C$112:$C$113,0)-1,0)</f>
        <v>9.7688220000000001</v>
      </c>
      <c r="E8" s="31">
        <f ca="1">8.1757175*OFFSET(E$112,MATCH($N$1,$C$112:$C$113,0)-1,0)</f>
        <v>8.1757174999999993</v>
      </c>
      <c r="F8" s="31">
        <f ca="1">6.1982075*OFFSET(F$112,MATCH($N$1,$C$112:$C$113,0)-1,0)</f>
        <v>6.1982074999999996</v>
      </c>
      <c r="G8" s="31">
        <f ca="1">6.721072*OFFSET(G$112,MATCH($N$1,$C$112:$C$113,0)-1,0)</f>
        <v>6.7210720000000004</v>
      </c>
      <c r="H8" s="31">
        <f ca="1">3.50928375*OFFSET(H$112,MATCH($N$1,$C$112:$C$113,0)-1,0)</f>
        <v>3.5092837499999998</v>
      </c>
      <c r="I8" s="31">
        <f ca="1">4.7244005*OFFSET(I$112,MATCH($N$1,$C$112:$C$113,0)-1,0)</f>
        <v>4.7244004999999998</v>
      </c>
      <c r="J8" s="31">
        <f ca="1">4.3882685*OFFSET(J$112,MATCH($N$1,$C$112:$C$113,0)-1,0)</f>
        <v>4.3882684999999997</v>
      </c>
      <c r="K8" s="31">
        <f ca="1">5.0649765*OFFSET(K$112,MATCH($N$1,$C$112:$C$113,0)-1,0)</f>
        <v>5.0649765000000002</v>
      </c>
      <c r="L8" s="31">
        <f ca="1">6.5191715*OFFSET(L$112,MATCH($N$1,$C$112:$C$113,0)-1,0)</f>
        <v>6.5191714999999997</v>
      </c>
      <c r="M8" s="31">
        <f ca="1">6.379986*OFFSET(M$112,MATCH($N$1,$C$112:$C$113,0)-1,0)</f>
        <v>6.3799859999999997</v>
      </c>
      <c r="N8" s="31">
        <v>3.3264882499999997</v>
      </c>
      <c r="O8" s="28">
        <f t="shared" ca="1" si="0"/>
        <v>-0.65947908048687964</v>
      </c>
      <c r="P8" s="28">
        <f t="shared" ca="1" si="1"/>
        <v>-0.24195881587464396</v>
      </c>
      <c r="Q8" s="206"/>
    </row>
    <row r="9" spans="1:17" ht="18" customHeight="1">
      <c r="A9" s="172"/>
      <c r="B9" s="29" t="s">
        <v>189</v>
      </c>
      <c r="C9" s="30"/>
      <c r="D9" s="30">
        <v>5096</v>
      </c>
      <c r="E9" s="30">
        <v>3550</v>
      </c>
      <c r="F9" s="30">
        <v>2231</v>
      </c>
      <c r="G9" s="30">
        <v>2582</v>
      </c>
      <c r="H9" s="30">
        <v>1697</v>
      </c>
      <c r="I9" s="30">
        <v>2314</v>
      </c>
      <c r="J9" s="30">
        <v>1496</v>
      </c>
      <c r="K9" s="30">
        <v>1739</v>
      </c>
      <c r="L9" s="30">
        <v>2228</v>
      </c>
      <c r="M9" s="30">
        <v>2553</v>
      </c>
      <c r="N9" s="30">
        <v>1610</v>
      </c>
      <c r="O9" s="28">
        <f t="shared" si="0"/>
        <v>-0.68406593406593408</v>
      </c>
      <c r="P9" s="28">
        <f t="shared" si="1"/>
        <v>7.6203208556149732E-2</v>
      </c>
      <c r="Q9" s="206"/>
    </row>
    <row r="10" spans="1:17" ht="18" customHeight="1">
      <c r="A10" s="172"/>
      <c r="B10" s="29" t="s">
        <v>190</v>
      </c>
      <c r="C10" s="30"/>
      <c r="D10" s="30">
        <v>148.2247314453125</v>
      </c>
      <c r="E10" s="30">
        <v>98.568565368652344</v>
      </c>
      <c r="F10" s="30">
        <v>72.698707580566406</v>
      </c>
      <c r="G10" s="30">
        <v>84.93817138671875</v>
      </c>
      <c r="H10" s="30">
        <v>34.069248199462891</v>
      </c>
      <c r="I10" s="30">
        <v>61.650352478027344</v>
      </c>
      <c r="J10" s="30">
        <v>39.801300048828125</v>
      </c>
      <c r="K10" s="30">
        <v>25.668262481689453</v>
      </c>
      <c r="L10" s="30">
        <v>62.130481719970703</v>
      </c>
      <c r="M10" s="30">
        <v>92.109748840332031</v>
      </c>
      <c r="N10" s="30">
        <v>58.075798034667969</v>
      </c>
      <c r="O10" s="32">
        <f t="shared" si="0"/>
        <v>-0.60819090398490605</v>
      </c>
      <c r="P10" s="32">
        <f t="shared" si="1"/>
        <v>0.45914324314584548</v>
      </c>
      <c r="Q10" s="206"/>
    </row>
    <row r="11" spans="1:17" ht="18" customHeight="1">
      <c r="A11" s="173" t="s">
        <v>191</v>
      </c>
      <c r="B11" s="33" t="s">
        <v>192</v>
      </c>
      <c r="C11" s="34"/>
      <c r="D11" s="34">
        <v>15.493888854980469</v>
      </c>
      <c r="E11" s="34">
        <v>15.614643096923828</v>
      </c>
      <c r="F11" s="34">
        <v>15.719090461730957</v>
      </c>
      <c r="G11" s="34">
        <v>16.469524383544922</v>
      </c>
      <c r="H11" s="34">
        <v>15.020666122436523</v>
      </c>
      <c r="I11" s="34">
        <v>15.974545478820801</v>
      </c>
      <c r="J11" s="34">
        <v>16.316667556762695</v>
      </c>
      <c r="K11" s="34">
        <v>15.110526084899902</v>
      </c>
      <c r="L11" s="34">
        <v>15.835263252258301</v>
      </c>
      <c r="M11" s="34">
        <v>15.00666618347168</v>
      </c>
      <c r="N11" s="34">
        <v>15.739166259765625</v>
      </c>
      <c r="O11" s="28">
        <f t="shared" si="0"/>
        <v>1.5830590181774313E-2</v>
      </c>
      <c r="P11" s="28">
        <f t="shared" si="1"/>
        <v>-3.5393335985307611E-2</v>
      </c>
      <c r="Q11" s="206"/>
    </row>
    <row r="12" spans="1:17" ht="18" customHeight="1">
      <c r="A12" s="174"/>
      <c r="B12" s="35" t="s">
        <v>184</v>
      </c>
      <c r="C12" s="30"/>
      <c r="D12" s="30">
        <v>208.63888549804688</v>
      </c>
      <c r="E12" s="30">
        <v>199.92857360839844</v>
      </c>
      <c r="F12" s="30">
        <v>211.31817626953125</v>
      </c>
      <c r="G12" s="30">
        <v>215.42857360839844</v>
      </c>
      <c r="H12" s="30">
        <v>196.93333435058594</v>
      </c>
      <c r="I12" s="30">
        <v>211.59091186523438</v>
      </c>
      <c r="J12" s="30">
        <v>219.58332824707031</v>
      </c>
      <c r="K12" s="30">
        <v>197.63157653808594</v>
      </c>
      <c r="L12" s="30">
        <v>217.10527038574219</v>
      </c>
      <c r="M12" s="30">
        <v>205.77777099609375</v>
      </c>
      <c r="N12" s="30">
        <v>235.83332824707031</v>
      </c>
      <c r="O12" s="28">
        <f t="shared" si="0"/>
        <v>0.1303421588171684</v>
      </c>
      <c r="P12" s="28">
        <f t="shared" si="1"/>
        <v>7.4003796780581901E-2</v>
      </c>
      <c r="Q12" s="206"/>
    </row>
    <row r="13" spans="1:17" ht="18" customHeight="1">
      <c r="A13" s="174"/>
      <c r="B13" s="35" t="s">
        <v>185</v>
      </c>
      <c r="C13" s="30"/>
      <c r="D13" s="30">
        <v>54.722221374511719</v>
      </c>
      <c r="E13" s="30">
        <v>52.964286804199219</v>
      </c>
      <c r="F13" s="30">
        <v>57.090908050537109</v>
      </c>
      <c r="G13" s="30">
        <v>64.666664123535156</v>
      </c>
      <c r="H13" s="30">
        <v>51.933334350585938</v>
      </c>
      <c r="I13" s="30">
        <v>62.409091949462891</v>
      </c>
      <c r="J13" s="30">
        <v>66.75</v>
      </c>
      <c r="K13" s="30">
        <v>51.473682403564453</v>
      </c>
      <c r="L13" s="30">
        <v>62</v>
      </c>
      <c r="M13" s="30">
        <v>53.5</v>
      </c>
      <c r="N13" s="30">
        <v>63.166667938232422</v>
      </c>
      <c r="O13" s="28">
        <f t="shared" si="0"/>
        <v>0.15431476193058788</v>
      </c>
      <c r="P13" s="28">
        <f t="shared" si="1"/>
        <v>-5.3682877329851358E-2</v>
      </c>
      <c r="Q13" s="206"/>
    </row>
    <row r="14" spans="1:17" ht="18" customHeight="1">
      <c r="A14" s="174"/>
      <c r="B14" s="35" t="s">
        <v>186</v>
      </c>
      <c r="C14" s="30"/>
      <c r="D14" s="30">
        <v>183.51248168945313</v>
      </c>
      <c r="E14" s="30">
        <v>176.54743957519531</v>
      </c>
      <c r="F14" s="30">
        <v>180.74552917480469</v>
      </c>
      <c r="G14" s="30">
        <v>191.63081359863281</v>
      </c>
      <c r="H14" s="30">
        <v>169.58474731445313</v>
      </c>
      <c r="I14" s="30">
        <v>187.21943664550781</v>
      </c>
      <c r="J14" s="30">
        <v>195.87722778320313</v>
      </c>
      <c r="K14" s="30">
        <v>173.82569885253906</v>
      </c>
      <c r="L14" s="30">
        <v>188.67474365234375</v>
      </c>
      <c r="M14" s="30">
        <v>176.42903137207031</v>
      </c>
      <c r="N14" s="30">
        <v>198.29360961914063</v>
      </c>
      <c r="O14" s="28">
        <f t="shared" si="0"/>
        <v>8.0545627161757269E-2</v>
      </c>
      <c r="P14" s="28">
        <f t="shared" si="1"/>
        <v>1.2336206016821675E-2</v>
      </c>
      <c r="Q14" s="206"/>
    </row>
    <row r="15" spans="1:17" ht="18" customHeight="1">
      <c r="A15" s="174"/>
      <c r="B15" s="35" t="s">
        <v>187</v>
      </c>
      <c r="C15" s="31"/>
      <c r="D15" s="31">
        <v>146.63150024414063</v>
      </c>
      <c r="E15" s="31">
        <v>141.36054992675781</v>
      </c>
      <c r="F15" s="31">
        <v>171.27239990234375</v>
      </c>
      <c r="G15" s="31">
        <v>212.04693603515625</v>
      </c>
      <c r="H15" s="31">
        <v>116.68698883056641</v>
      </c>
      <c r="I15" s="31">
        <v>97.694259643554688</v>
      </c>
      <c r="J15" s="31">
        <v>138.42378234863281</v>
      </c>
      <c r="K15" s="31">
        <v>86.393302917480469</v>
      </c>
      <c r="L15" s="31">
        <v>129.25735473632813</v>
      </c>
      <c r="M15" s="31">
        <v>116.2633056640625</v>
      </c>
      <c r="N15" s="31">
        <v>132.85734558105469</v>
      </c>
      <c r="O15" s="28">
        <f t="shared" si="0"/>
        <v>-9.3937214310377021E-2</v>
      </c>
      <c r="P15" s="28">
        <f t="shared" si="1"/>
        <v>-4.0213008726770305E-2</v>
      </c>
      <c r="Q15" s="206"/>
    </row>
    <row r="16" spans="1:17" ht="18" customHeight="1">
      <c r="A16" s="174"/>
      <c r="B16" s="35" t="s">
        <v>193</v>
      </c>
      <c r="C16" s="31"/>
      <c r="D16" s="31">
        <f ca="1">271.3561875*OFFSET(D$112,MATCH($N$1,$C$112:$C$113,0)-1,0)</f>
        <v>271.35618749999998</v>
      </c>
      <c r="E16" s="31">
        <f ca="1">291.98990625*OFFSET(E$112,MATCH($N$1,$C$112:$C$113,0)-1,0)</f>
        <v>291.98990624999999</v>
      </c>
      <c r="F16" s="31">
        <f ca="1">281.7366875*OFFSET(F$112,MATCH($N$1,$C$112:$C$113,0)-1,0)</f>
        <v>281.73668750000002</v>
      </c>
      <c r="G16" s="31">
        <f ca="1">320.05103125*OFFSET(G$112,MATCH($N$1,$C$112:$C$113,0)-1,0)</f>
        <v>320.05103124999999</v>
      </c>
      <c r="H16" s="31">
        <f ca="1">233.95225*OFFSET(H$112,MATCH($N$1,$C$112:$C$113,0)-1,0)</f>
        <v>233.95224999999999</v>
      </c>
      <c r="I16" s="31">
        <f ca="1">214.74546875*OFFSET(I$112,MATCH($N$1,$C$112:$C$113,0)-1,0)</f>
        <v>214.74546874999999</v>
      </c>
      <c r="J16" s="31">
        <f ca="1">365.68903125*OFFSET(J$112,MATCH($N$1,$C$112:$C$113,0)-1,0)</f>
        <v>365.68903125000003</v>
      </c>
      <c r="K16" s="31">
        <f ca="1">266.57771875*OFFSET(K$112,MATCH($N$1,$C$112:$C$113,0)-1,0)</f>
        <v>266.57771874999997</v>
      </c>
      <c r="L16" s="31">
        <f ca="1">343.11428125*OFFSET(L$112,MATCH($N$1,$C$112:$C$113,0)-1,0)</f>
        <v>343.11428124999998</v>
      </c>
      <c r="M16" s="31">
        <f ca="1">354.44365625*OFFSET(M$112,MATCH($N$1,$C$112:$C$113,0)-1,0)</f>
        <v>354.44365625</v>
      </c>
      <c r="N16" s="31">
        <v>277.20734375000001</v>
      </c>
      <c r="O16" s="28">
        <f t="shared" ca="1" si="0"/>
        <v>2.1562641721593438E-2</v>
      </c>
      <c r="P16" s="28">
        <f t="shared" ca="1" si="1"/>
        <v>-0.24195882276685052</v>
      </c>
      <c r="Q16" s="206"/>
    </row>
    <row r="17" spans="1:16" ht="18" customHeight="1">
      <c r="A17" s="174"/>
      <c r="B17" s="35" t="s">
        <v>189</v>
      </c>
      <c r="C17" s="30"/>
      <c r="D17" s="30">
        <v>141.55555725097656</v>
      </c>
      <c r="E17" s="30">
        <v>126.78571319580078</v>
      </c>
      <c r="F17" s="30">
        <v>101.40908813476563</v>
      </c>
      <c r="G17" s="30">
        <v>122.95237731933594</v>
      </c>
      <c r="H17" s="30">
        <v>113.13333129882813</v>
      </c>
      <c r="I17" s="30">
        <v>105.18181610107422</v>
      </c>
      <c r="J17" s="30">
        <v>124.66666412353516</v>
      </c>
      <c r="K17" s="30">
        <v>91.526313781738281</v>
      </c>
      <c r="L17" s="30">
        <v>117.26316070556641</v>
      </c>
      <c r="M17" s="30">
        <v>141.83332824707031</v>
      </c>
      <c r="N17" s="30">
        <v>134.16667175292969</v>
      </c>
      <c r="O17" s="28">
        <f t="shared" si="0"/>
        <v>-5.2197777618482731E-2</v>
      </c>
      <c r="P17" s="28">
        <f t="shared" si="1"/>
        <v>7.6203271309006462E-2</v>
      </c>
    </row>
    <row r="18" spans="1:16" ht="18" customHeight="1">
      <c r="A18" s="174"/>
      <c r="B18" s="35" t="s">
        <v>194</v>
      </c>
      <c r="C18" s="30"/>
      <c r="D18" s="30">
        <v>27.05555534362793</v>
      </c>
      <c r="E18" s="30">
        <v>27.785715103149414</v>
      </c>
      <c r="F18" s="30">
        <v>28.681818008422852</v>
      </c>
      <c r="G18" s="30">
        <v>28.619047164916992</v>
      </c>
      <c r="H18" s="30">
        <v>26.266666412353516</v>
      </c>
      <c r="I18" s="30">
        <v>29</v>
      </c>
      <c r="J18" s="30">
        <v>28</v>
      </c>
      <c r="K18" s="30">
        <v>29.421052932739258</v>
      </c>
      <c r="L18" s="30">
        <v>33.105262756347656</v>
      </c>
      <c r="M18" s="30">
        <v>37</v>
      </c>
      <c r="N18" s="30">
        <v>31.666666030883789</v>
      </c>
      <c r="O18" s="28">
        <f t="shared" si="0"/>
        <v>0.1704311971678622</v>
      </c>
      <c r="P18" s="28">
        <f t="shared" si="1"/>
        <v>0.13095235824584961</v>
      </c>
    </row>
    <row r="19" spans="1:16" ht="18" customHeight="1">
      <c r="A19" s="174"/>
      <c r="B19" s="35" t="s">
        <v>195</v>
      </c>
      <c r="C19" s="36"/>
      <c r="D19" s="36">
        <v>1.0358582735061646</v>
      </c>
      <c r="E19" s="36">
        <v>1.1149564981460571</v>
      </c>
      <c r="F19" s="36">
        <v>1.6889255046844482</v>
      </c>
      <c r="G19" s="36">
        <v>1.7246265411376953</v>
      </c>
      <c r="H19" s="36">
        <v>1.0314112901687622</v>
      </c>
      <c r="I19" s="36">
        <v>0.92881321907043457</v>
      </c>
      <c r="J19" s="36">
        <v>1.1103512048721313</v>
      </c>
      <c r="K19" s="36">
        <v>0.94391763210296631</v>
      </c>
      <c r="L19" s="36">
        <v>1.1022844314575195</v>
      </c>
      <c r="M19" s="36">
        <v>0.81971782445907593</v>
      </c>
      <c r="N19" s="36">
        <v>0.99024105072021484</v>
      </c>
      <c r="O19" s="28">
        <f t="shared" si="0"/>
        <v>-4.4038092809303833E-2</v>
      </c>
      <c r="P19" s="28">
        <f t="shared" si="1"/>
        <v>-0.10817312002264046</v>
      </c>
    </row>
    <row r="20" spans="1:16" ht="18" customHeight="1">
      <c r="A20" s="175"/>
      <c r="B20" s="37" t="s">
        <v>196</v>
      </c>
      <c r="C20" s="38"/>
      <c r="D20" s="38">
        <f ca="1">1851*OFFSET(D$112,MATCH($N$1,$C$112:$C$113,0)-1,0)</f>
        <v>1851</v>
      </c>
      <c r="E20" s="38">
        <f ca="1">2066*OFFSET(E$112,MATCH($N$1,$C$112:$C$113,0)-1,0)</f>
        <v>2066</v>
      </c>
      <c r="F20" s="38">
        <f ca="1">1645*OFFSET(F$112,MATCH($N$1,$C$112:$C$113,0)-1,0)</f>
        <v>1645</v>
      </c>
      <c r="G20" s="38">
        <f ca="1">1509*OFFSET(G$112,MATCH($N$1,$C$112:$C$113,0)-1,0)</f>
        <v>1509</v>
      </c>
      <c r="H20" s="38">
        <f ca="1">2005*OFFSET(H$112,MATCH($N$1,$C$112:$C$113,0)-1,0)</f>
        <v>2005</v>
      </c>
      <c r="I20" s="38">
        <f ca="1">2198*OFFSET(I$112,MATCH($N$1,$C$112:$C$113,0)-1,0)</f>
        <v>2198</v>
      </c>
      <c r="J20" s="38">
        <f ca="1">2642*OFFSET(J$112,MATCH($N$1,$C$112:$C$113,0)-1,0)</f>
        <v>2642</v>
      </c>
      <c r="K20" s="38">
        <f ca="1">3086*OFFSET(K$112,MATCH($N$1,$C$112:$C$113,0)-1,0)</f>
        <v>3086</v>
      </c>
      <c r="L20" s="38">
        <f ca="1">2655*OFFSET(L$112,MATCH($N$1,$C$112:$C$113,0)-1,0)</f>
        <v>2655</v>
      </c>
      <c r="M20" s="38">
        <f ca="1">3049*OFFSET(M$112,MATCH($N$1,$C$112:$C$113,0)-1,0)</f>
        <v>3049</v>
      </c>
      <c r="N20" s="38">
        <v>2087</v>
      </c>
      <c r="O20" s="32">
        <f t="shared" ca="1" si="0"/>
        <v>0.12749864937871422</v>
      </c>
      <c r="P20" s="32">
        <f t="shared" ca="1" si="1"/>
        <v>-0.21006813020439061</v>
      </c>
    </row>
    <row r="21" spans="1:16" ht="18" customHeight="1">
      <c r="A21" s="176" t="s">
        <v>197</v>
      </c>
      <c r="B21" s="33" t="s">
        <v>198</v>
      </c>
      <c r="C21" s="39"/>
      <c r="D21" s="39">
        <v>4.8276262429194317</v>
      </c>
      <c r="E21" s="39">
        <v>5.5002880272759604</v>
      </c>
      <c r="F21" s="39">
        <v>7.6653301368914653</v>
      </c>
      <c r="G21" s="39">
        <v>7.9114962639964865</v>
      </c>
      <c r="H21" s="39">
        <v>4.9696754209153182</v>
      </c>
      <c r="I21" s="39">
        <v>3.9697490227701131</v>
      </c>
      <c r="J21" s="39">
        <v>4.6695379283710974</v>
      </c>
      <c r="K21" s="39">
        <v>4.5175580097613892</v>
      </c>
      <c r="L21" s="39">
        <v>4.7330681450512442</v>
      </c>
      <c r="M21" s="39">
        <v>3.7099456485360918</v>
      </c>
      <c r="N21" s="39">
        <v>3.8839985959231096</v>
      </c>
      <c r="O21" s="28">
        <f t="shared" si="0"/>
        <v>-0.19546410585954516</v>
      </c>
      <c r="P21" s="28">
        <f t="shared" si="1"/>
        <v>-0.16822635226394064</v>
      </c>
    </row>
    <row r="22" spans="1:16" ht="18" customHeight="1">
      <c r="A22" s="176"/>
      <c r="B22" s="35" t="s">
        <v>199</v>
      </c>
      <c r="C22" s="36"/>
      <c r="D22" s="36">
        <f ca="1">8.9340029241494*OFFSET(D$112,MATCH($N$1,$C$112:$C$113,0)-1,0)</f>
        <v>8.9340029241494001</v>
      </c>
      <c r="E22" s="36">
        <f ca="1">11.3612219693856*OFFSET(E$112,MATCH($N$1,$C$112:$C$113,0)-1,0)</f>
        <v>11.3612219693856</v>
      </c>
      <c r="F22" s="36">
        <f ca="1">12.6091811791806*OFFSET(F$112,MATCH($N$1,$C$112:$C$113,0)-1,0)</f>
        <v>12.609181179180601</v>
      </c>
      <c r="G22" s="36">
        <f ca="1">11.9411418309897*OFFSET(G$112,MATCH($N$1,$C$112:$C$113,0)-1,0)</f>
        <v>11.9411418309897</v>
      </c>
      <c r="H22" s="36">
        <f ca="1">9.96397934461286*OFFSET(H$112,MATCH($N$1,$C$112:$C$113,0)-1,0)</f>
        <v>9.9639793446128593</v>
      </c>
      <c r="I22" s="36">
        <f ca="1">8.72605634993278*OFFSET(I$112,MATCH($N$1,$C$112:$C$113,0)-1,0)</f>
        <v>8.7260563499327795</v>
      </c>
      <c r="J22" s="36">
        <f ca="1">12.336021834098*OFFSET(J$112,MATCH($N$1,$C$112:$C$113,0)-1,0)</f>
        <v>12.336021834098</v>
      </c>
      <c r="K22" s="36">
        <f ca="1">13.9395099839309*OFFSET(K$112,MATCH($N$1,$C$112:$C$113,0)-1,0)</f>
        <v>13.9395099839309</v>
      </c>
      <c r="L22" s="36">
        <f ca="1">12.5639525736024*OFFSET(L$112,MATCH($N$1,$C$112:$C$113,0)-1,0)</f>
        <v>12.5639525736024</v>
      </c>
      <c r="M22" s="36">
        <f ca="1">11.3102469661016*OFFSET(M$112,MATCH($N$1,$C$112:$C$113,0)-1,0)</f>
        <v>11.3102469661016</v>
      </c>
      <c r="N22" s="36">
        <v>8.1039774593999354</v>
      </c>
      <c r="O22" s="28">
        <f t="shared" ca="1" si="0"/>
        <v>-9.2906334573255228E-2</v>
      </c>
      <c r="P22" s="28">
        <f t="shared" ca="1" si="1"/>
        <v>-0.34306394975730914</v>
      </c>
    </row>
    <row r="23" spans="1:16" ht="18" customHeight="1">
      <c r="A23" s="176"/>
      <c r="B23" s="35" t="s">
        <v>154</v>
      </c>
      <c r="C23" s="36"/>
      <c r="D23" s="36">
        <f ca="1">7.75338641309034*OFFSET(D$112,MATCH($N$1,$C$112:$C$113,0)-1,0)</f>
        <v>7.7533864130903396</v>
      </c>
      <c r="E23" s="36">
        <f ca="1">11.926781482021*OFFSET(E$112,MATCH($N$1,$C$112:$C$113,0)-1,0)</f>
        <v>11.926781482020999</v>
      </c>
      <c r="F23" s="36">
        <f ca="1">12.3031573743104*OFFSET(F$112,MATCH($N$1,$C$112:$C$113,0)-1,0)</f>
        <v>12.3031573743104</v>
      </c>
      <c r="G23" s="36">
        <f ca="1">11.2282133867684*OFFSET(G$112,MATCH($N$1,$C$112:$C$113,0)-1,0)</f>
        <v>11.228213386768401</v>
      </c>
      <c r="H23" s="36">
        <f ca="1">9.32361700856903*OFFSET(H$112,MATCH($N$1,$C$112:$C$113,0)-1,0)</f>
        <v>9.3236170085690304</v>
      </c>
      <c r="I23" s="36">
        <f ca="1">7.8159714597207*OFFSET(I$112,MATCH($N$1,$C$112:$C$113,0)-1,0)</f>
        <v>7.8159714597207</v>
      </c>
      <c r="J23" s="36">
        <f ca="1">10.3502755731951*OFFSET(J$112,MATCH($N$1,$C$112:$C$113,0)-1,0)</f>
        <v>10.3502755731951</v>
      </c>
      <c r="K23" s="36">
        <f ca="1">12.6388330861445*OFFSET(K$112,MATCH($N$1,$C$112:$C$113,0)-1,0)</f>
        <v>12.6388330861445</v>
      </c>
      <c r="L23" s="36">
        <f ca="1">12.1602589078975*OFFSET(L$112,MATCH($N$1,$C$112:$C$113,0)-1,0)</f>
        <v>12.1602589078975</v>
      </c>
      <c r="M23" s="36">
        <f ca="1">10.7408701344789*OFFSET(M$112,MATCH($N$1,$C$112:$C$113,0)-1,0)</f>
        <v>10.7408701344789</v>
      </c>
      <c r="N23" s="36">
        <v>8.848412568899148</v>
      </c>
      <c r="O23" s="28">
        <f t="shared" ca="1" si="0"/>
        <v>0.14123198528581443</v>
      </c>
      <c r="P23" s="28">
        <f t="shared" ca="1" si="1"/>
        <v>-0.14510367319933409</v>
      </c>
    </row>
    <row r="24" spans="1:16" ht="18" customHeight="1">
      <c r="A24" s="176"/>
      <c r="B24" s="35" t="s">
        <v>155</v>
      </c>
      <c r="C24" s="36"/>
      <c r="D24" s="36">
        <f ca="1">1.63586539910228*OFFSET(D$112,MATCH($N$1,$C$112:$C$113,0)-1,0)</f>
        <v>1.63586539910228</v>
      </c>
      <c r="E24" s="36">
        <f ca="1">3.2729265740906*OFFSET(E$112,MATCH($N$1,$C$112:$C$113,0)-1,0)</f>
        <v>3.2729265740905999</v>
      </c>
      <c r="F24" s="36">
        <f ca="1">2.5402840486531*OFFSET(F$112,MATCH($N$1,$C$112:$C$113,0)-1,0)</f>
        <v>2.5402840486531</v>
      </c>
      <c r="G24" s="36">
        <f ca="1">1.98491957082579*OFFSET(G$112,MATCH($N$1,$C$112:$C$113,0)-1,0)</f>
        <v>1.9849195708257901</v>
      </c>
      <c r="H24" s="36">
        <f ca="1">1.50613201606634*OFFSET(H$112,MATCH($N$1,$C$112:$C$113,0)-1,0)</f>
        <v>1.5061320160663401</v>
      </c>
      <c r="I24" s="36">
        <f ca="1">1.48956397924248*OFFSET(I$112,MATCH($N$1,$C$112:$C$113,0)-1,0)</f>
        <v>1.48956397924248</v>
      </c>
      <c r="J24" s="36">
        <f ca="1">2.03540095065612*OFFSET(J$112,MATCH($N$1,$C$112:$C$113,0)-1,0)</f>
        <v>2.0354009506561201</v>
      </c>
      <c r="K24" s="36">
        <f ca="1">5.23605878362659*OFFSET(K$112,MATCH($N$1,$C$112:$C$113,0)-1,0)</f>
        <v>5.2360587836265902</v>
      </c>
      <c r="L24" s="36">
        <f ca="1">1.99986726192826*OFFSET(L$112,MATCH($N$1,$C$112:$C$113,0)-1,0)</f>
        <v>1.99986726192826</v>
      </c>
      <c r="M24" s="36">
        <f ca="1">1.76259725807061*OFFSET(M$112,MATCH($N$1,$C$112:$C$113,0)-1,0)</f>
        <v>1.76259725807061</v>
      </c>
      <c r="N24" s="36">
        <v>1.5921918467900622</v>
      </c>
      <c r="O24" s="28">
        <f t="shared" ca="1" si="0"/>
        <v>-2.6697521896474313E-2</v>
      </c>
      <c r="P24" s="28">
        <f t="shared" ca="1" si="1"/>
        <v>-0.21775026867467445</v>
      </c>
    </row>
    <row r="25" spans="1:16" ht="18" customHeight="1">
      <c r="A25" s="176"/>
      <c r="B25" s="35" t="s">
        <v>200</v>
      </c>
      <c r="C25" s="31"/>
      <c r="D25" s="31">
        <f ca="1">65.92*OFFSET(D$112,MATCH($N$1,$C$112:$C$113,0)-1,0)</f>
        <v>65.92</v>
      </c>
      <c r="E25" s="31">
        <f ca="1">82.95*OFFSET(E$112,MATCH($N$1,$C$112:$C$113,0)-1,0)</f>
        <v>82.95</v>
      </c>
      <c r="F25" s="31">
        <f ca="1">85.25*OFFSET(F$112,MATCH($N$1,$C$112:$C$113,0)-1,0)</f>
        <v>85.25</v>
      </c>
      <c r="G25" s="31">
        <f ca="1">79.14*OFFSET(G$112,MATCH($N$1,$C$112:$C$113,0)-1,0)</f>
        <v>79.14</v>
      </c>
      <c r="H25" s="31">
        <f ca="1">103.03*OFFSET(H$112,MATCH($N$1,$C$112:$C$113,0)-1,0)</f>
        <v>103.03</v>
      </c>
      <c r="I25" s="31">
        <f ca="1">76.62*OFFSET(I$112,MATCH($N$1,$C$112:$C$113,0)-1,0)</f>
        <v>76.62</v>
      </c>
      <c r="J25" s="31">
        <f ca="1">110.26*OFFSET(J$112,MATCH($N$1,$C$112:$C$113,0)-1,0)</f>
        <v>110.26</v>
      </c>
      <c r="K25" s="31">
        <f ca="1">197.34*OFFSET(K$112,MATCH($N$1,$C$112:$C$113,0)-1,0)</f>
        <v>197.34</v>
      </c>
      <c r="L25" s="31">
        <f ca="1">104.92*OFFSET(L$112,MATCH($N$1,$C$112:$C$113,0)-1,0)</f>
        <v>104.92</v>
      </c>
      <c r="M25" s="31">
        <f ca="1">69.26*OFFSET(M$112,MATCH($N$1,$C$112:$C$113,0)-1,0)</f>
        <v>69.260000000000005</v>
      </c>
      <c r="N25" s="31">
        <v>57.28</v>
      </c>
      <c r="O25" s="28">
        <f t="shared" ca="1" si="0"/>
        <v>-0.13106796116504854</v>
      </c>
      <c r="P25" s="28">
        <f t="shared" ca="1" si="1"/>
        <v>-0.480500634863051</v>
      </c>
    </row>
    <row r="26" spans="1:16" ht="18" customHeight="1">
      <c r="A26" s="177"/>
      <c r="B26" s="35" t="s">
        <v>201</v>
      </c>
      <c r="C26" s="31"/>
      <c r="D26" s="31">
        <f ca="1">12.07*OFFSET(D$112,MATCH($N$1,$C$112:$C$113,0)-1,0)</f>
        <v>12.07</v>
      </c>
      <c r="E26" s="31">
        <f ca="1">23.89*OFFSET(E$112,MATCH($N$1,$C$112:$C$113,0)-1,0)</f>
        <v>23.89</v>
      </c>
      <c r="F26" s="31">
        <f ca="1">17.19*OFFSET(F$112,MATCH($N$1,$C$112:$C$113,0)-1,0)</f>
        <v>17.190000000000001</v>
      </c>
      <c r="G26" s="31">
        <f ca="1">13.15*OFFSET(G$112,MATCH($N$1,$C$112:$C$113,0)-1,0)</f>
        <v>13.15</v>
      </c>
      <c r="H26" s="31">
        <f ca="1">15.59*OFFSET(H$112,MATCH($N$1,$C$112:$C$113,0)-1,0)</f>
        <v>15.59</v>
      </c>
      <c r="I26" s="31">
        <f ca="1">13.1*OFFSET(I$112,MATCH($N$1,$C$112:$C$113,0)-1,0)</f>
        <v>13.1</v>
      </c>
      <c r="J26" s="31">
        <f ca="1">18.18*OFFSET(J$112,MATCH($N$1,$C$112:$C$113,0)-1,0)</f>
        <v>18.18</v>
      </c>
      <c r="K26" s="31">
        <f ca="1">74.1*OFFSET(K$112,MATCH($N$1,$C$112:$C$113,0)-1,0)</f>
        <v>74.099999999999994</v>
      </c>
      <c r="L26" s="31">
        <f ca="1">16.7*OFFSET(L$112,MATCH($N$1,$C$112:$C$113,0)-1,0)</f>
        <v>16.7</v>
      </c>
      <c r="M26" s="31">
        <f ca="1">10.79*OFFSET(M$112,MATCH($N$1,$C$112:$C$113,0)-1,0)</f>
        <v>10.79</v>
      </c>
      <c r="N26" s="31">
        <v>11.26</v>
      </c>
      <c r="O26" s="32">
        <f t="shared" ca="1" si="0"/>
        <v>-6.7108533554266811E-2</v>
      </c>
      <c r="P26" s="32">
        <f t="shared" ca="1" si="1"/>
        <v>-0.38063806380638066</v>
      </c>
    </row>
    <row r="27" spans="1:16" ht="18" customHeight="1">
      <c r="A27" s="166" t="s">
        <v>202</v>
      </c>
      <c r="B27" s="33" t="s">
        <v>193</v>
      </c>
      <c r="C27" s="34"/>
      <c r="D27" s="34">
        <f ca="1">271.4*OFFSET(D$112,MATCH($N$1,$C$112:$C$113,0)-1,0)</f>
        <v>271.39999999999998</v>
      </c>
      <c r="E27" s="34">
        <f ca="1">292*OFFSET(E$112,MATCH($N$1,$C$112:$C$113,0)-1,0)</f>
        <v>292</v>
      </c>
      <c r="F27" s="34">
        <f ca="1">281.7*OFFSET(F$112,MATCH($N$1,$C$112:$C$113,0)-1,0)</f>
        <v>281.7</v>
      </c>
      <c r="G27" s="34">
        <f ca="1">320.1*OFFSET(G$112,MATCH($N$1,$C$112:$C$113,0)-1,0)</f>
        <v>320.10000000000002</v>
      </c>
      <c r="H27" s="34">
        <f ca="1">234*OFFSET(H$112,MATCH($N$1,$C$112:$C$113,0)-1,0)</f>
        <v>234</v>
      </c>
      <c r="I27" s="34">
        <f ca="1">214.7*OFFSET(I$112,MATCH($N$1,$C$112:$C$113,0)-1,0)</f>
        <v>214.7</v>
      </c>
      <c r="J27" s="34">
        <f ca="1">365.7*OFFSET(J$112,MATCH($N$1,$C$112:$C$113,0)-1,0)</f>
        <v>365.7</v>
      </c>
      <c r="K27" s="34">
        <f ca="1">266.6*OFFSET(K$112,MATCH($N$1,$C$112:$C$113,0)-1,0)</f>
        <v>266.60000000000002</v>
      </c>
      <c r="L27" s="34">
        <f ca="1">343.1*OFFSET(L$112,MATCH($N$1,$C$112:$C$113,0)-1,0)</f>
        <v>343.1</v>
      </c>
      <c r="M27" s="34">
        <f ca="1">354.4*OFFSET(M$112,MATCH($N$1,$C$112:$C$113,0)-1,0)</f>
        <v>354.4</v>
      </c>
      <c r="N27" s="34">
        <v>277.2</v>
      </c>
      <c r="O27" s="28">
        <f t="shared" ca="1" si="0"/>
        <v>2.1370670596904982E-2</v>
      </c>
      <c r="P27" s="28">
        <f t="shared" ca="1" si="1"/>
        <v>-0.24200164068908941</v>
      </c>
    </row>
    <row r="28" spans="1:16" ht="18" customHeight="1">
      <c r="A28" s="178"/>
      <c r="B28" s="35" t="s">
        <v>203</v>
      </c>
      <c r="C28" s="31"/>
      <c r="D28" s="31">
        <f ca="1">13.8*OFFSET(D$112,MATCH($N$1,$C$112:$C$113,0)-1,0)</f>
        <v>13.8</v>
      </c>
      <c r="E28" s="31">
        <f ca="1">98.7*OFFSET(E$112,MATCH($N$1,$C$112:$C$113,0)-1,0)</f>
        <v>98.7</v>
      </c>
      <c r="F28" s="31">
        <f ca="1">49.9*OFFSET(F$112,MATCH($N$1,$C$112:$C$113,0)-1,0)</f>
        <v>49.9</v>
      </c>
      <c r="G28" s="31">
        <f ca="1">34.1*OFFSET(G$112,MATCH($N$1,$C$112:$C$113,0)-1,0)</f>
        <v>34.1</v>
      </c>
      <c r="H28" s="31">
        <f ca="1">20.3*OFFSET(H$112,MATCH($N$1,$C$112:$C$113,0)-1,0)</f>
        <v>20.3</v>
      </c>
      <c r="I28" s="31">
        <f ca="1">14.3*OFFSET(I$112,MATCH($N$1,$C$112:$C$113,0)-1,0)</f>
        <v>14.3</v>
      </c>
      <c r="J28" s="31">
        <f ca="1">1.5*OFFSET(J$112,MATCH($N$1,$C$112:$C$113,0)-1,0)</f>
        <v>1.5</v>
      </c>
      <c r="K28" s="31">
        <f ca="1">75.3*OFFSET(K$112,MATCH($N$1,$C$112:$C$113,0)-1,0)</f>
        <v>75.3</v>
      </c>
      <c r="L28" s="31">
        <f ca="1">43.6*OFFSET(L$112,MATCH($N$1,$C$112:$C$113,0)-1,0)</f>
        <v>43.6</v>
      </c>
      <c r="M28" s="31">
        <f ca="1">37.4*OFFSET(M$112,MATCH($N$1,$C$112:$C$113,0)-1,0)</f>
        <v>37.4</v>
      </c>
      <c r="N28" s="31">
        <v>79.900000000000006</v>
      </c>
      <c r="O28" s="28">
        <f t="shared" ca="1" si="0"/>
        <v>4.7898550724637685</v>
      </c>
      <c r="P28" s="28">
        <f t="shared" ca="1" si="1"/>
        <v>52.266666666666673</v>
      </c>
    </row>
    <row r="29" spans="1:16" ht="18" customHeight="1">
      <c r="A29" s="178"/>
      <c r="B29" s="40" t="s">
        <v>204</v>
      </c>
      <c r="C29" s="41"/>
      <c r="D29" s="41">
        <f ca="1">285.2*OFFSET(D$112,MATCH($N$1,$C$112:$C$113,0)-1,0)</f>
        <v>285.2</v>
      </c>
      <c r="E29" s="41">
        <f ca="1">390.6*OFFSET(E$112,MATCH($N$1,$C$112:$C$113,0)-1,0)</f>
        <v>390.6</v>
      </c>
      <c r="F29" s="41">
        <f ca="1">331.7*OFFSET(F$112,MATCH($N$1,$C$112:$C$113,0)-1,0)</f>
        <v>331.7</v>
      </c>
      <c r="G29" s="41">
        <f ca="1">354.1*OFFSET(G$112,MATCH($N$1,$C$112:$C$113,0)-1,0)</f>
        <v>354.1</v>
      </c>
      <c r="H29" s="41">
        <f ca="1">254.3*OFFSET(H$112,MATCH($N$1,$C$112:$C$113,0)-1,0)</f>
        <v>254.3</v>
      </c>
      <c r="I29" s="41">
        <f ca="1">229*OFFSET(I$112,MATCH($N$1,$C$112:$C$113,0)-1,0)</f>
        <v>229</v>
      </c>
      <c r="J29" s="41">
        <f ca="1">367.2*OFFSET(J$112,MATCH($N$1,$C$112:$C$113,0)-1,0)</f>
        <v>367.2</v>
      </c>
      <c r="K29" s="41">
        <f ca="1">341.8*OFFSET(K$112,MATCH($N$1,$C$112:$C$113,0)-1,0)</f>
        <v>341.8</v>
      </c>
      <c r="L29" s="41">
        <f ca="1">386.7*OFFSET(L$112,MATCH($N$1,$C$112:$C$113,0)-1,0)</f>
        <v>386.7</v>
      </c>
      <c r="M29" s="41">
        <f ca="1">391.8*OFFSET(M$112,MATCH($N$1,$C$112:$C$113,0)-1,0)</f>
        <v>391.8</v>
      </c>
      <c r="N29" s="41">
        <v>357.1</v>
      </c>
      <c r="O29" s="28">
        <f t="shared" ca="1" si="0"/>
        <v>0.25210378681626944</v>
      </c>
      <c r="P29" s="28">
        <f t="shared" ca="1" si="1"/>
        <v>-2.750544662309359E-2</v>
      </c>
    </row>
    <row r="30" spans="1:16" ht="18" customHeight="1">
      <c r="A30" s="178"/>
      <c r="B30" s="35" t="s">
        <v>205</v>
      </c>
      <c r="C30" s="31"/>
      <c r="D30" s="31">
        <f ca="1">48.6*OFFSET(D$112,MATCH($N$1,$C$112:$C$113,0)-1,0)</f>
        <v>48.6</v>
      </c>
      <c r="E30" s="31">
        <f ca="1">54.4*OFFSET(E$112,MATCH($N$1,$C$112:$C$113,0)-1,0)</f>
        <v>54.4</v>
      </c>
      <c r="F30" s="31">
        <f ca="1">46.2*OFFSET(F$112,MATCH($N$1,$C$112:$C$113,0)-1,0)</f>
        <v>46.2</v>
      </c>
      <c r="G30" s="31">
        <f ca="1">55.9*OFFSET(G$112,MATCH($N$1,$C$112:$C$113,0)-1,0)</f>
        <v>55.9</v>
      </c>
      <c r="H30" s="31">
        <f ca="1">42.3*OFFSET(H$112,MATCH($N$1,$C$112:$C$113,0)-1,0)</f>
        <v>42.3</v>
      </c>
      <c r="I30" s="31">
        <f ca="1">30*OFFSET(I$112,MATCH($N$1,$C$112:$C$113,0)-1,0)</f>
        <v>30</v>
      </c>
      <c r="J30" s="31">
        <f ca="1">33.9*OFFSET(J$112,MATCH($N$1,$C$112:$C$113,0)-1,0)</f>
        <v>33.9</v>
      </c>
      <c r="K30" s="31">
        <f ca="1">27.1*OFFSET(K$112,MATCH($N$1,$C$112:$C$113,0)-1,0)</f>
        <v>27.1</v>
      </c>
      <c r="L30" s="31">
        <f ca="1">44.8*OFFSET(L$112,MATCH($N$1,$C$112:$C$113,0)-1,0)</f>
        <v>44.8</v>
      </c>
      <c r="M30" s="31">
        <f ca="1">49.3*OFFSET(M$112,MATCH($N$1,$C$112:$C$113,0)-1,0)</f>
        <v>49.3</v>
      </c>
      <c r="N30" s="31">
        <v>38.5</v>
      </c>
      <c r="O30" s="28">
        <f t="shared" ca="1" si="0"/>
        <v>-0.20781893004115229</v>
      </c>
      <c r="P30" s="28">
        <f t="shared" ca="1" si="1"/>
        <v>0.13569321533923309</v>
      </c>
    </row>
    <row r="31" spans="1:16" ht="18" customHeight="1">
      <c r="A31" s="178"/>
      <c r="B31" s="35" t="s">
        <v>206</v>
      </c>
      <c r="C31" s="31"/>
      <c r="D31" s="31">
        <f ca="1">67*OFFSET(D$112,MATCH($N$1,$C$112:$C$113,0)-1,0)</f>
        <v>67</v>
      </c>
      <c r="E31" s="31">
        <f ca="1">102.5*OFFSET(E$112,MATCH($N$1,$C$112:$C$113,0)-1,0)</f>
        <v>102.5</v>
      </c>
      <c r="F31" s="31">
        <f ca="1">82.5*OFFSET(F$112,MATCH($N$1,$C$112:$C$113,0)-1,0)</f>
        <v>82.5</v>
      </c>
      <c r="G31" s="31">
        <f ca="1">77.2*OFFSET(G$112,MATCH($N$1,$C$112:$C$113,0)-1,0)</f>
        <v>77.2</v>
      </c>
      <c r="H31" s="31">
        <f ca="1">59.7*OFFSET(H$112,MATCH($N$1,$C$112:$C$113,0)-1,0)</f>
        <v>59.7</v>
      </c>
      <c r="I31" s="31">
        <f ca="1">46.6*OFFSET(I$112,MATCH($N$1,$C$112:$C$113,0)-1,0)</f>
        <v>46.6</v>
      </c>
      <c r="J31" s="31">
        <f ca="1">95.7*OFFSET(J$112,MATCH($N$1,$C$112:$C$113,0)-1,0)</f>
        <v>95.7</v>
      </c>
      <c r="K31" s="31">
        <f ca="1">66.4*OFFSET(K$112,MATCH($N$1,$C$112:$C$113,0)-1,0)</f>
        <v>66.400000000000006</v>
      </c>
      <c r="L31" s="31">
        <f ca="1">75.9*OFFSET(L$112,MATCH($N$1,$C$112:$C$113,0)-1,0)</f>
        <v>75.900000000000006</v>
      </c>
      <c r="M31" s="31">
        <f ca="1">77.9*OFFSET(M$112,MATCH($N$1,$C$112:$C$113,0)-1,0)</f>
        <v>77.900000000000006</v>
      </c>
      <c r="N31" s="31">
        <v>64.900000000000006</v>
      </c>
      <c r="O31" s="28">
        <f t="shared" ca="1" si="0"/>
        <v>-3.1343283582089466E-2</v>
      </c>
      <c r="P31" s="28">
        <f t="shared" ca="1" si="1"/>
        <v>-0.32183908045977005</v>
      </c>
    </row>
    <row r="32" spans="1:16" ht="18" customHeight="1">
      <c r="A32" s="178"/>
      <c r="B32" s="35" t="s">
        <v>207</v>
      </c>
      <c r="C32" s="31"/>
      <c r="D32" s="31">
        <f ca="1">48.2*OFFSET(D$112,MATCH($N$1,$C$112:$C$113,0)-1,0)</f>
        <v>48.2</v>
      </c>
      <c r="E32" s="31">
        <f ca="1">61*OFFSET(E$112,MATCH($N$1,$C$112:$C$113,0)-1,0)</f>
        <v>61</v>
      </c>
      <c r="F32" s="31">
        <f ca="1">75.6*OFFSET(F$112,MATCH($N$1,$C$112:$C$113,0)-1,0)</f>
        <v>75.599999999999994</v>
      </c>
      <c r="G32" s="31">
        <f ca="1">88.4*OFFSET(G$112,MATCH($N$1,$C$112:$C$113,0)-1,0)</f>
        <v>88.4</v>
      </c>
      <c r="H32" s="31">
        <f ca="1">59.2*OFFSET(H$112,MATCH($N$1,$C$112:$C$113,0)-1,0)</f>
        <v>59.2</v>
      </c>
      <c r="I32" s="31">
        <f ca="1">52.9*OFFSET(I$112,MATCH($N$1,$C$112:$C$113,0)-1,0)</f>
        <v>52.9</v>
      </c>
      <c r="J32" s="31">
        <f ca="1">94.8*OFFSET(J$112,MATCH($N$1,$C$112:$C$113,0)-1,0)</f>
        <v>94.8</v>
      </c>
      <c r="K32" s="31">
        <f ca="1">71.4*OFFSET(K$112,MATCH($N$1,$C$112:$C$113,0)-1,0)</f>
        <v>71.400000000000006</v>
      </c>
      <c r="L32" s="31">
        <f ca="1">91.4*OFFSET(L$112,MATCH($N$1,$C$112:$C$113,0)-1,0)</f>
        <v>91.4</v>
      </c>
      <c r="M32" s="31">
        <f ca="1">103.3*OFFSET(M$112,MATCH($N$1,$C$112:$C$113,0)-1,0)</f>
        <v>103.3</v>
      </c>
      <c r="N32" s="31">
        <v>74.3</v>
      </c>
      <c r="O32" s="28">
        <f t="shared" ca="1" si="0"/>
        <v>0.54149377593360981</v>
      </c>
      <c r="P32" s="28">
        <f t="shared" ca="1" si="1"/>
        <v>-0.21624472573839662</v>
      </c>
    </row>
    <row r="33" spans="1:16" ht="18" customHeight="1">
      <c r="A33" s="178"/>
      <c r="B33" s="35" t="s">
        <v>208</v>
      </c>
      <c r="C33" s="31"/>
      <c r="D33" s="31">
        <f ca="1">163.8*OFFSET(D$112,MATCH($N$1,$C$112:$C$113,0)-1,0)</f>
        <v>163.80000000000001</v>
      </c>
      <c r="E33" s="31">
        <f ca="1">218*OFFSET(E$112,MATCH($N$1,$C$112:$C$113,0)-1,0)</f>
        <v>218</v>
      </c>
      <c r="F33" s="31">
        <f ca="1">204.3*OFFSET(F$112,MATCH($N$1,$C$112:$C$113,0)-1,0)</f>
        <v>204.3</v>
      </c>
      <c r="G33" s="31">
        <f ca="1">221.5*OFFSET(G$112,MATCH($N$1,$C$112:$C$113,0)-1,0)</f>
        <v>221.5</v>
      </c>
      <c r="H33" s="31">
        <f ca="1">161.2*OFFSET(H$112,MATCH($N$1,$C$112:$C$113,0)-1,0)</f>
        <v>161.19999999999999</v>
      </c>
      <c r="I33" s="31">
        <f ca="1">129.4*OFFSET(I$112,MATCH($N$1,$C$112:$C$113,0)-1,0)</f>
        <v>129.4</v>
      </c>
      <c r="J33" s="31">
        <f ca="1">224.4*OFFSET(J$112,MATCH($N$1,$C$112:$C$113,0)-1,0)</f>
        <v>224.4</v>
      </c>
      <c r="K33" s="31">
        <f ca="1">164.8*OFFSET(K$112,MATCH($N$1,$C$112:$C$113,0)-1,0)</f>
        <v>164.8</v>
      </c>
      <c r="L33" s="31">
        <f ca="1">212.1*OFFSET(L$112,MATCH($N$1,$C$112:$C$113,0)-1,0)</f>
        <v>212.1</v>
      </c>
      <c r="M33" s="31">
        <f ca="1">230.5*OFFSET(M$112,MATCH($N$1,$C$112:$C$113,0)-1,0)</f>
        <v>230.5</v>
      </c>
      <c r="N33" s="31">
        <v>177.70000000000002</v>
      </c>
      <c r="O33" s="28">
        <f t="shared" ca="1" si="0"/>
        <v>8.4859584859584891E-2</v>
      </c>
      <c r="P33" s="28">
        <f t="shared" ca="1" si="1"/>
        <v>-0.20811051693404628</v>
      </c>
    </row>
    <row r="34" spans="1:16" ht="18" customHeight="1">
      <c r="A34" s="178"/>
      <c r="B34" s="35" t="s">
        <v>209</v>
      </c>
      <c r="C34" s="31"/>
      <c r="D34" s="31">
        <f ca="1">71.7*OFFSET(D$112,MATCH($N$1,$C$112:$C$113,0)-1,0)</f>
        <v>71.7</v>
      </c>
      <c r="E34" s="31">
        <f ca="1">88.6*OFFSET(E$112,MATCH($N$1,$C$112:$C$113,0)-1,0)</f>
        <v>88.6</v>
      </c>
      <c r="F34" s="31">
        <f ca="1">70.6*OFFSET(F$112,MATCH($N$1,$C$112:$C$113,0)-1,0)</f>
        <v>70.599999999999994</v>
      </c>
      <c r="G34" s="31">
        <f ca="1">79.4*OFFSET(G$112,MATCH($N$1,$C$112:$C$113,0)-1,0)</f>
        <v>79.400000000000006</v>
      </c>
      <c r="H34" s="31">
        <f ca="1">57.7*OFFSET(H$112,MATCH($N$1,$C$112:$C$113,0)-1,0)</f>
        <v>57.7</v>
      </c>
      <c r="I34" s="31">
        <f ca="1">62.9*OFFSET(I$112,MATCH($N$1,$C$112:$C$113,0)-1,0)</f>
        <v>62.9</v>
      </c>
      <c r="J34" s="31">
        <f ca="1">82.4*OFFSET(J$112,MATCH($N$1,$C$112:$C$113,0)-1,0)</f>
        <v>82.4</v>
      </c>
      <c r="K34" s="31">
        <f ca="1">76.9*OFFSET(K$112,MATCH($N$1,$C$112:$C$113,0)-1,0)</f>
        <v>76.900000000000006</v>
      </c>
      <c r="L34" s="31">
        <f ca="1">120*OFFSET(L$112,MATCH($N$1,$C$112:$C$113,0)-1,0)</f>
        <v>120</v>
      </c>
      <c r="M34" s="31">
        <f ca="1">106.1*OFFSET(M$112,MATCH($N$1,$C$112:$C$113,0)-1,0)</f>
        <v>106.1</v>
      </c>
      <c r="N34" s="31">
        <v>125</v>
      </c>
      <c r="O34" s="28">
        <f t="shared" ca="1" si="0"/>
        <v>0.74337517433751732</v>
      </c>
      <c r="P34" s="28">
        <f t="shared" ca="1" si="1"/>
        <v>0.5169902912621358</v>
      </c>
    </row>
    <row r="35" spans="1:16" ht="18" customHeight="1">
      <c r="A35" s="178"/>
      <c r="B35" s="35" t="s">
        <v>210</v>
      </c>
      <c r="C35" s="31"/>
      <c r="D35" s="31">
        <f ca="1">235.5*OFFSET(D$112,MATCH($N$1,$C$112:$C$113,0)-1,0)</f>
        <v>235.5</v>
      </c>
      <c r="E35" s="31">
        <f ca="1">306.5*OFFSET(E$112,MATCH($N$1,$C$112:$C$113,0)-1,0)</f>
        <v>306.5</v>
      </c>
      <c r="F35" s="31">
        <f ca="1">274.9*OFFSET(F$112,MATCH($N$1,$C$112:$C$113,0)-1,0)</f>
        <v>274.89999999999998</v>
      </c>
      <c r="G35" s="31">
        <f ca="1">300.9*OFFSET(G$112,MATCH($N$1,$C$112:$C$113,0)-1,0)</f>
        <v>300.89999999999998</v>
      </c>
      <c r="H35" s="31">
        <f ca="1">218.9*OFFSET(H$112,MATCH($N$1,$C$112:$C$113,0)-1,0)</f>
        <v>218.9</v>
      </c>
      <c r="I35" s="31">
        <f ca="1">192.3*OFFSET(I$112,MATCH($N$1,$C$112:$C$113,0)-1,0)</f>
        <v>192.3</v>
      </c>
      <c r="J35" s="31">
        <f ca="1">306.8*OFFSET(J$112,MATCH($N$1,$C$112:$C$113,0)-1,0)</f>
        <v>306.8</v>
      </c>
      <c r="K35" s="31">
        <f ca="1">241.7*OFFSET(K$112,MATCH($N$1,$C$112:$C$113,0)-1,0)</f>
        <v>241.7</v>
      </c>
      <c r="L35" s="31">
        <f ca="1">332.1*OFFSET(L$112,MATCH($N$1,$C$112:$C$113,0)-1,0)</f>
        <v>332.1</v>
      </c>
      <c r="M35" s="31">
        <f ca="1">336.6*OFFSET(M$112,MATCH($N$1,$C$112:$C$113,0)-1,0)</f>
        <v>336.6</v>
      </c>
      <c r="N35" s="31">
        <v>302.7</v>
      </c>
      <c r="O35" s="28">
        <f t="shared" ca="1" si="0"/>
        <v>0.28535031847133752</v>
      </c>
      <c r="P35" s="28">
        <f t="shared" ca="1" si="1"/>
        <v>-1.3363754889178691E-2</v>
      </c>
    </row>
    <row r="36" spans="1:16" ht="18" customHeight="1">
      <c r="A36" s="178"/>
      <c r="B36" s="40" t="s">
        <v>211</v>
      </c>
      <c r="C36" s="41"/>
      <c r="D36" s="41">
        <f ca="1">116.7*OFFSET(D$112,MATCH($N$1,$C$112:$C$113,0)-1,0)</f>
        <v>116.7</v>
      </c>
      <c r="E36" s="41">
        <f ca="1">186.6*OFFSET(E$112,MATCH($N$1,$C$112:$C$113,0)-1,0)</f>
        <v>186.6</v>
      </c>
      <c r="F36" s="41">
        <f ca="1">139.3*OFFSET(F$112,MATCH($N$1,$C$112:$C$113,0)-1,0)</f>
        <v>139.30000000000001</v>
      </c>
      <c r="G36" s="41">
        <f ca="1">130.4*OFFSET(G$112,MATCH($N$1,$C$112:$C$113,0)-1,0)</f>
        <v>130.4</v>
      </c>
      <c r="H36" s="41">
        <f ca="1">95.1*OFFSET(H$112,MATCH($N$1,$C$112:$C$113,0)-1,0)</f>
        <v>95.1</v>
      </c>
      <c r="I36" s="41">
        <f ca="1">83.3*OFFSET(I$112,MATCH($N$1,$C$112:$C$113,0)-1,0)</f>
        <v>83.3</v>
      </c>
      <c r="J36" s="41">
        <f ca="1">156*OFFSET(J$112,MATCH($N$1,$C$112:$C$113,0)-1,0)</f>
        <v>156</v>
      </c>
      <c r="K36" s="41">
        <f ca="1">166.5*OFFSET(K$112,MATCH($N$1,$C$112:$C$113,0)-1,0)</f>
        <v>166.5</v>
      </c>
      <c r="L36" s="41">
        <f ca="1">130.5*OFFSET(L$112,MATCH($N$1,$C$112:$C$113,0)-1,0)</f>
        <v>130.5</v>
      </c>
      <c r="M36" s="41">
        <f ca="1">133.1*OFFSET(M$112,MATCH($N$1,$C$112:$C$113,0)-1,0)</f>
        <v>133.1</v>
      </c>
      <c r="N36" s="41">
        <v>119.4</v>
      </c>
      <c r="O36" s="28">
        <f t="shared" ca="1" si="0"/>
        <v>2.3136246786632415E-2</v>
      </c>
      <c r="P36" s="28">
        <f t="shared" ca="1" si="1"/>
        <v>-0.23461538461538459</v>
      </c>
    </row>
    <row r="37" spans="1:16" ht="18" customHeight="1">
      <c r="A37" s="178"/>
      <c r="B37" s="40" t="s">
        <v>212</v>
      </c>
      <c r="C37" s="41"/>
      <c r="D37" s="41">
        <f ca="1">49.7*OFFSET(D$112,MATCH($N$1,$C$112:$C$113,0)-1,0)</f>
        <v>49.7</v>
      </c>
      <c r="E37" s="41">
        <f ca="1">84.1*OFFSET(E$112,MATCH($N$1,$C$112:$C$113,0)-1,0)</f>
        <v>84.1</v>
      </c>
      <c r="F37" s="41">
        <f ca="1">56.8*OFFSET(F$112,MATCH($N$1,$C$112:$C$113,0)-1,0)</f>
        <v>56.8</v>
      </c>
      <c r="G37" s="41">
        <f ca="1">53.2*OFFSET(G$112,MATCH($N$1,$C$112:$C$113,0)-1,0)</f>
        <v>53.2</v>
      </c>
      <c r="H37" s="41">
        <f ca="1">35.4*OFFSET(H$112,MATCH($N$1,$C$112:$C$113,0)-1,0)</f>
        <v>35.4</v>
      </c>
      <c r="I37" s="41">
        <f ca="1">36.7*OFFSET(I$112,MATCH($N$1,$C$112:$C$113,0)-1,0)</f>
        <v>36.700000000000003</v>
      </c>
      <c r="J37" s="41">
        <f ca="1">60.3*OFFSET(J$112,MATCH($N$1,$C$112:$C$113,0)-1,0)</f>
        <v>60.3</v>
      </c>
      <c r="K37" s="41">
        <f ca="1">100.1*OFFSET(K$112,MATCH($N$1,$C$112:$C$113,0)-1,0)</f>
        <v>100.1</v>
      </c>
      <c r="L37" s="41">
        <f ca="1">54.6*OFFSET(L$112,MATCH($N$1,$C$112:$C$113,0)-1,0)</f>
        <v>54.6</v>
      </c>
      <c r="M37" s="41">
        <f ca="1">55.2*OFFSET(M$112,MATCH($N$1,$C$112:$C$113,0)-1,0)</f>
        <v>55.2</v>
      </c>
      <c r="N37" s="41">
        <v>54.5</v>
      </c>
      <c r="O37" s="28">
        <f t="shared" ca="1" si="0"/>
        <v>9.6579476861166941E-2</v>
      </c>
      <c r="P37" s="28">
        <f t="shared" ca="1" si="1"/>
        <v>-9.6185737976782704E-2</v>
      </c>
    </row>
    <row r="38" spans="1:16" ht="18" customHeight="1">
      <c r="A38" s="178"/>
      <c r="B38" s="35" t="s">
        <v>213</v>
      </c>
      <c r="C38" s="31"/>
      <c r="D38" s="31">
        <f ca="1">22.7*OFFSET(D$112,MATCH($N$1,$C$112:$C$113,0)-1,0)</f>
        <v>22.7</v>
      </c>
      <c r="E38" s="31">
        <f ca="1">14.1*OFFSET(E$112,MATCH($N$1,$C$112:$C$113,0)-1,0)</f>
        <v>14.1</v>
      </c>
      <c r="F38" s="31">
        <f ca="1">15.1*OFFSET(F$112,MATCH($N$1,$C$112:$C$113,0)-1,0)</f>
        <v>15.1</v>
      </c>
      <c r="G38" s="31">
        <f ca="1">13.1*OFFSET(G$112,MATCH($N$1,$C$112:$C$113,0)-1,0)</f>
        <v>13.1</v>
      </c>
      <c r="H38" s="31">
        <f ca="1">13*OFFSET(H$112,MATCH($N$1,$C$112:$C$113,0)-1,0)</f>
        <v>13</v>
      </c>
      <c r="I38" s="31">
        <f ca="1">20.4*OFFSET(I$112,MATCH($N$1,$C$112:$C$113,0)-1,0)</f>
        <v>20.399999999999999</v>
      </c>
      <c r="J38" s="31">
        <f ca="1">13.1*OFFSET(J$112,MATCH($N$1,$C$112:$C$113,0)-1,0)</f>
        <v>13.1</v>
      </c>
      <c r="K38" s="31">
        <f ca="1">15.5*OFFSET(K$112,MATCH($N$1,$C$112:$C$113,0)-1,0)</f>
        <v>15.5</v>
      </c>
      <c r="L38" s="31">
        <f ca="1">12.9*OFFSET(L$112,MATCH($N$1,$C$112:$C$113,0)-1,0)</f>
        <v>12.9</v>
      </c>
      <c r="M38" s="31">
        <f ca="1">13.3*OFFSET(M$112,MATCH($N$1,$C$112:$C$113,0)-1,0)</f>
        <v>13.3</v>
      </c>
      <c r="N38" s="31"/>
      <c r="O38" s="28" t="str">
        <f t="shared" si="0"/>
        <v/>
      </c>
      <c r="P38" s="28" t="str">
        <f t="shared" si="1"/>
        <v/>
      </c>
    </row>
    <row r="39" spans="1:16" ht="18" customHeight="1">
      <c r="A39" s="178"/>
      <c r="B39" s="35" t="s">
        <v>214</v>
      </c>
      <c r="C39" s="31"/>
      <c r="D39" s="31">
        <f ca="1">5.8*OFFSET(D$112,MATCH($N$1,$C$112:$C$113,0)-1,0)</f>
        <v>5.8</v>
      </c>
      <c r="E39" s="31">
        <f ca="1">3.6*OFFSET(E$112,MATCH($N$1,$C$112:$C$113,0)-1,0)</f>
        <v>3.6</v>
      </c>
      <c r="F39" s="31">
        <f ca="1">3.5*OFFSET(F$112,MATCH($N$1,$C$112:$C$113,0)-1,0)</f>
        <v>3.5</v>
      </c>
      <c r="G39" s="31">
        <f ca="1">3.3*OFFSET(G$112,MATCH($N$1,$C$112:$C$113,0)-1,0)</f>
        <v>3.3</v>
      </c>
      <c r="H39" s="31">
        <f ca="1">2.1*OFFSET(H$112,MATCH($N$1,$C$112:$C$113,0)-1,0)</f>
        <v>2.1</v>
      </c>
      <c r="I39" s="31">
        <f ca="1">2.9*OFFSET(I$112,MATCH($N$1,$C$112:$C$113,0)-1,0)</f>
        <v>2.9</v>
      </c>
      <c r="J39" s="31">
        <f ca="1">0.8*OFFSET(J$112,MATCH($N$1,$C$112:$C$113,0)-1,0)</f>
        <v>0.8</v>
      </c>
      <c r="K39" s="31">
        <f ca="1">0.9*OFFSET(K$112,MATCH($N$1,$C$112:$C$113,0)-1,0)</f>
        <v>0.9</v>
      </c>
      <c r="L39" s="31">
        <f ca="1">4.4*OFFSET(L$112,MATCH($N$1,$C$112:$C$113,0)-1,0)</f>
        <v>4.4000000000000004</v>
      </c>
      <c r="M39" s="31">
        <f ca="1">5.6*OFFSET(M$112,MATCH($N$1,$C$112:$C$113,0)-1,0)</f>
        <v>5.6</v>
      </c>
      <c r="N39" s="31"/>
      <c r="O39" s="28" t="str">
        <f t="shared" si="0"/>
        <v/>
      </c>
      <c r="P39" s="28" t="str">
        <f t="shared" si="1"/>
        <v/>
      </c>
    </row>
    <row r="40" spans="1:16" ht="18" customHeight="1">
      <c r="A40" s="178"/>
      <c r="B40" s="35" t="s">
        <v>215</v>
      </c>
      <c r="C40" s="31"/>
      <c r="D40" s="31">
        <f ca="1">0.2*OFFSET(D$112,MATCH($N$1,$C$112:$C$113,0)-1,0)</f>
        <v>0.2</v>
      </c>
      <c r="E40" s="31">
        <f ca="1">2.2*OFFSET(E$112,MATCH($N$1,$C$112:$C$113,0)-1,0)</f>
        <v>2.2000000000000002</v>
      </c>
      <c r="F40" s="31">
        <f ca="1">1.1*OFFSET(F$112,MATCH($N$1,$C$112:$C$113,0)-1,0)</f>
        <v>1.1000000000000001</v>
      </c>
      <c r="G40" s="31">
        <f ca="1">1.5*OFFSET(G$112,MATCH($N$1,$C$112:$C$113,0)-1,0)</f>
        <v>1.5</v>
      </c>
      <c r="H40" s="31">
        <f ca="1">0.9*OFFSET(H$112,MATCH($N$1,$C$112:$C$113,0)-1,0)</f>
        <v>0.9</v>
      </c>
      <c r="I40" s="31">
        <f ca="1">1.3*OFFSET(I$112,MATCH($N$1,$C$112:$C$113,0)-1,0)</f>
        <v>1.3</v>
      </c>
      <c r="J40" s="31">
        <f ca="1">0.1*OFFSET(J$112,MATCH($N$1,$C$112:$C$113,0)-1,0)</f>
        <v>0.1</v>
      </c>
      <c r="K40" s="31">
        <f ca="1">1.5*OFFSET(K$112,MATCH($N$1,$C$112:$C$113,0)-1,0)</f>
        <v>1.5</v>
      </c>
      <c r="L40" s="31">
        <f ca="1">1.8*OFFSET(L$112,MATCH($N$1,$C$112:$C$113,0)-1,0)</f>
        <v>1.8</v>
      </c>
      <c r="M40" s="31">
        <f ca="1">0.3*OFFSET(M$112,MATCH($N$1,$C$112:$C$113,0)-1,0)</f>
        <v>0.3</v>
      </c>
      <c r="N40" s="31"/>
      <c r="O40" s="28" t="str">
        <f t="shared" si="0"/>
        <v/>
      </c>
      <c r="P40" s="28" t="str">
        <f t="shared" si="1"/>
        <v/>
      </c>
    </row>
    <row r="41" spans="1:16" ht="18" customHeight="1" thickBot="1">
      <c r="A41" s="179"/>
      <c r="B41" s="42" t="s">
        <v>216</v>
      </c>
      <c r="C41" s="43"/>
      <c r="D41" s="43">
        <f ca="1">21*OFFSET(D$112,MATCH($N$1,$C$112:$C$113,0)-1,0)</f>
        <v>21</v>
      </c>
      <c r="E41" s="43">
        <f ca="1">64.2*OFFSET(E$112,MATCH($N$1,$C$112:$C$113,0)-1,0)</f>
        <v>64.2</v>
      </c>
      <c r="F41" s="43">
        <f ca="1">37.2*OFFSET(F$112,MATCH($N$1,$C$112:$C$113,0)-1,0)</f>
        <v>37.200000000000003</v>
      </c>
      <c r="G41" s="43">
        <f ca="1">35.2*OFFSET(G$112,MATCH($N$1,$C$112:$C$113,0)-1,0)</f>
        <v>35.200000000000003</v>
      </c>
      <c r="H41" s="43">
        <f ca="1">19.4*OFFSET(H$112,MATCH($N$1,$C$112:$C$113,0)-1,0)</f>
        <v>19.399999999999999</v>
      </c>
      <c r="I41" s="43">
        <f ca="1">12*OFFSET(I$112,MATCH($N$1,$C$112:$C$113,0)-1,0)</f>
        <v>12</v>
      </c>
      <c r="J41" s="43">
        <f ca="1">46.4*OFFSET(J$112,MATCH($N$1,$C$112:$C$113,0)-1,0)</f>
        <v>46.4</v>
      </c>
      <c r="K41" s="43">
        <f ca="1">82.2*OFFSET(K$112,MATCH($N$1,$C$112:$C$113,0)-1,0)</f>
        <v>82.2</v>
      </c>
      <c r="L41" s="43">
        <f ca="1">35.5*OFFSET(L$112,MATCH($N$1,$C$112:$C$113,0)-1,0)</f>
        <v>35.5</v>
      </c>
      <c r="M41" s="43">
        <f ca="1">36*OFFSET(M$112,MATCH($N$1,$C$112:$C$113,0)-1,0)</f>
        <v>36</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158</v>
      </c>
      <c r="F46" s="90" t="s">
        <v>158</v>
      </c>
      <c r="G46" s="90" t="s">
        <v>163</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NSWOS demersal under 24m under 300kW</v>
      </c>
      <c r="B48" s="202"/>
      <c r="C48" s="92"/>
      <c r="D48" s="92"/>
      <c r="E48" s="92"/>
      <c r="F48" s="92"/>
      <c r="G48" s="92"/>
      <c r="H48" s="202"/>
      <c r="I48" s="202"/>
      <c r="J48" s="202"/>
      <c r="K48" s="92" t="str">
        <f>$B24&amp;CHAR(10)&amp;$A$1</f>
        <v>Operating profit per kW day at sea (£)
NSWOS demersal under 24m under 300kW</v>
      </c>
      <c r="L48" s="202"/>
      <c r="M48" s="202"/>
      <c r="N48" s="202"/>
      <c r="O48" s="202"/>
      <c r="P48" s="202"/>
    </row>
    <row r="49" spans="1:11" s="80" customFormat="1">
      <c r="A49" s="92" t="str">
        <f>$B22&amp;CHAR(10)&amp;$A$1</f>
        <v>Fishing income per kW day at sea (£)
NSWOS demersal under 24m under 300kW</v>
      </c>
      <c r="B49" s="202"/>
      <c r="C49" s="202"/>
      <c r="D49" s="202"/>
      <c r="E49" s="202"/>
      <c r="F49" s="202"/>
      <c r="G49" s="202"/>
      <c r="H49" s="202"/>
      <c r="I49" s="202"/>
      <c r="J49" s="202"/>
      <c r="K49" s="202"/>
    </row>
    <row r="50" spans="1:11" s="80" customFormat="1">
      <c r="A50" s="92" t="str">
        <f>$B20&amp;CHAR(10)&amp;$A$1</f>
        <v>Average price per tonne landed (£)
NSWOS demersal under 24m under 300kW</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NSWOS demersal under 24m under 300kW</v>
      </c>
      <c r="C62" s="202"/>
      <c r="D62" s="202"/>
      <c r="E62" s="202"/>
      <c r="F62" s="92" t="str">
        <f>$B20&amp;CHAR(10)&amp;$A$1</f>
        <v>Average price per tonne landed (£)
NSWOS demersal under 24m under 300kW</v>
      </c>
      <c r="G62" s="202"/>
      <c r="H62" s="202"/>
      <c r="I62" s="202"/>
      <c r="J62" s="202"/>
      <c r="K62" s="92" t="str">
        <f>"Average annual operating profit per vessel (£'000)"&amp;CHAR(10)&amp;$A$1</f>
        <v>Average annual operating profit per vessel (£'000)
NSWOS demersal under 24m under 300kW</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NSWOS demersal under 24m under 300kW</v>
      </c>
      <c r="F76" s="92" t="str">
        <f>"Top 5 landed species by value in "&amp;A77&amp;CHAR(10)&amp;A1</f>
        <v>Top 5 landed species by value in 2019
NSWOS demersal under 24m under 300kW</v>
      </c>
    </row>
    <row r="77" spans="1:11" s="92" customFormat="1">
      <c r="A77" s="92">
        <v>2019</v>
      </c>
      <c r="B77" s="92" t="s">
        <v>487</v>
      </c>
      <c r="C77" s="93">
        <v>0.15030795238046907</v>
      </c>
      <c r="D77" s="94">
        <v>12153634</v>
      </c>
      <c r="G77" s="92" t="s">
        <v>488</v>
      </c>
      <c r="H77" s="93">
        <v>0.24852709259840272</v>
      </c>
      <c r="I77" s="94">
        <v>12153634</v>
      </c>
      <c r="K77" s="92" t="s">
        <v>230</v>
      </c>
    </row>
    <row r="78" spans="1:11" s="92" customFormat="1">
      <c r="B78" s="92" t="s">
        <v>489</v>
      </c>
      <c r="C78" s="93">
        <v>0.14532468503630658</v>
      </c>
      <c r="D78" s="94">
        <v>553960</v>
      </c>
      <c r="G78" s="92" t="s">
        <v>490</v>
      </c>
      <c r="H78" s="93">
        <v>0.14241587150998428</v>
      </c>
      <c r="I78" s="94">
        <v>553960</v>
      </c>
    </row>
    <row r="79" spans="1:11" s="92" customFormat="1">
      <c r="B79" s="92" t="s">
        <v>491</v>
      </c>
      <c r="C79" s="93">
        <v>0.13523154423525999</v>
      </c>
      <c r="D79" s="94">
        <v>3689192</v>
      </c>
      <c r="G79" s="92" t="s">
        <v>492</v>
      </c>
      <c r="H79" s="93">
        <v>0.13875395918306366</v>
      </c>
      <c r="I79" s="94">
        <v>3050596</v>
      </c>
    </row>
    <row r="80" spans="1:11" s="92" customFormat="1">
      <c r="B80" s="92" t="s">
        <v>493</v>
      </c>
      <c r="C80" s="93">
        <v>0.11754009718543033</v>
      </c>
      <c r="D80" s="94">
        <v>3050596</v>
      </c>
      <c r="G80" s="92" t="s">
        <v>494</v>
      </c>
      <c r="H80" s="93">
        <v>0.11662131659022207</v>
      </c>
      <c r="I80" s="94">
        <v>1692097</v>
      </c>
    </row>
    <row r="81" spans="1:19" s="92" customFormat="1">
      <c r="B81" s="92" t="s">
        <v>495</v>
      </c>
      <c r="C81" s="93">
        <v>0.10596938196967963</v>
      </c>
      <c r="D81" s="94">
        <v>1692097</v>
      </c>
      <c r="G81" s="92" t="s">
        <v>496</v>
      </c>
      <c r="H81" s="93">
        <v>0.10848358723566021</v>
      </c>
      <c r="I81" s="94">
        <v>12153634</v>
      </c>
    </row>
    <row r="82" spans="1:19" s="92" customFormat="1">
      <c r="B82" s="92" t="s">
        <v>497</v>
      </c>
      <c r="C82" s="93">
        <v>0.34562633919285435</v>
      </c>
      <c r="D82" s="94">
        <v>5920853</v>
      </c>
      <c r="G82" s="92" t="s">
        <v>376</v>
      </c>
      <c r="H82" s="93">
        <v>0.2451981728826671</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169</v>
      </c>
      <c r="D92" s="98">
        <v>8.4638279830116556E-2</v>
      </c>
      <c r="E92" s="98"/>
      <c r="F92" s="98"/>
      <c r="G92" s="98">
        <v>0.10670897823153228</v>
      </c>
      <c r="H92" s="98">
        <v>8.3155511487980824E-2</v>
      </c>
      <c r="I92" s="98">
        <v>0.15484957692255077</v>
      </c>
      <c r="J92" s="98">
        <v>0.26520750286735245</v>
      </c>
      <c r="K92" s="98">
        <v>0.2095454859916952</v>
      </c>
      <c r="L92" s="98">
        <v>0.24852709259840272</v>
      </c>
      <c r="M92" s="98">
        <v>0.18209924535281313</v>
      </c>
      <c r="O92" s="92">
        <v>12153634</v>
      </c>
    </row>
    <row r="93" spans="1:19" s="92" customFormat="1" hidden="1">
      <c r="B93" s="92">
        <v>2</v>
      </c>
      <c r="C93" s="92" t="s">
        <v>241</v>
      </c>
      <c r="D93" s="98"/>
      <c r="E93" s="98"/>
      <c r="F93" s="98"/>
      <c r="G93" s="98"/>
      <c r="H93" s="98">
        <v>9.6503849964573757E-2</v>
      </c>
      <c r="I93" s="98">
        <v>9.8814309625166907E-2</v>
      </c>
      <c r="J93" s="98">
        <v>0.11087422945020414</v>
      </c>
      <c r="K93" s="98">
        <v>0.19057152569603539</v>
      </c>
      <c r="L93" s="98">
        <v>0.14241587150998428</v>
      </c>
      <c r="M93" s="98">
        <v>0.1397071295832775</v>
      </c>
      <c r="O93" s="92">
        <v>553960</v>
      </c>
    </row>
    <row r="94" spans="1:19" s="92" customFormat="1" hidden="1">
      <c r="B94" s="92">
        <v>3</v>
      </c>
      <c r="C94" s="92" t="s">
        <v>160</v>
      </c>
      <c r="D94" s="98">
        <v>0.12574486866388263</v>
      </c>
      <c r="E94" s="98">
        <v>0.14244872158976749</v>
      </c>
      <c r="F94" s="98">
        <v>0.11290038431559993</v>
      </c>
      <c r="G94" s="98">
        <v>9.3826731895711266E-2</v>
      </c>
      <c r="H94" s="98">
        <v>0.19297668254240927</v>
      </c>
      <c r="I94" s="98">
        <v>0.10651234653732483</v>
      </c>
      <c r="J94" s="98">
        <v>9.9901284309703325E-2</v>
      </c>
      <c r="K94" s="98">
        <v>5.7283353349581914E-2</v>
      </c>
      <c r="L94" s="98">
        <v>0.13875395918306366</v>
      </c>
      <c r="M94" s="98"/>
      <c r="O94" s="92">
        <v>3050596</v>
      </c>
    </row>
    <row r="95" spans="1:19" s="92" customFormat="1" hidden="1">
      <c r="B95" s="92">
        <v>4</v>
      </c>
      <c r="C95" s="92" t="s">
        <v>161</v>
      </c>
      <c r="D95" s="98">
        <v>0.13953129565826553</v>
      </c>
      <c r="E95" s="98">
        <v>7.8296798796444064E-2</v>
      </c>
      <c r="F95" s="98">
        <v>7.1301246393641507E-2</v>
      </c>
      <c r="G95" s="98">
        <v>0.14885821576618885</v>
      </c>
      <c r="H95" s="98">
        <v>0.17859290264909811</v>
      </c>
      <c r="I95" s="98">
        <v>0.29369838777206653</v>
      </c>
      <c r="J95" s="98">
        <v>0.24433622837859051</v>
      </c>
      <c r="K95" s="98">
        <v>0.18801928809843649</v>
      </c>
      <c r="L95" s="98">
        <v>0.11662131659022207</v>
      </c>
      <c r="M95" s="98">
        <v>0.22051984927347931</v>
      </c>
      <c r="O95" s="92">
        <v>1692097</v>
      </c>
    </row>
    <row r="96" spans="1:19" s="92" customFormat="1" hidden="1">
      <c r="B96" s="92">
        <v>5</v>
      </c>
      <c r="C96" s="92" t="s">
        <v>169</v>
      </c>
      <c r="D96" s="98"/>
      <c r="E96" s="98"/>
      <c r="F96" s="98"/>
      <c r="G96" s="98"/>
      <c r="H96" s="98"/>
      <c r="I96" s="98"/>
      <c r="J96" s="98"/>
      <c r="K96" s="98"/>
      <c r="L96" s="98">
        <v>0.10848358723566021</v>
      </c>
      <c r="M96" s="98"/>
      <c r="O96" s="92">
        <v>3689192</v>
      </c>
    </row>
    <row r="97" spans="1:15" s="92" customFormat="1" hidden="1">
      <c r="B97" s="92">
        <v>6</v>
      </c>
      <c r="C97" s="92" t="s">
        <v>157</v>
      </c>
      <c r="D97" s="98"/>
      <c r="E97" s="98">
        <v>0.26421602171389363</v>
      </c>
      <c r="F97" s="98">
        <v>0.30135345261119478</v>
      </c>
      <c r="G97" s="98">
        <v>0.11347803515808288</v>
      </c>
      <c r="H97" s="98">
        <v>0.14809808879881728</v>
      </c>
      <c r="I97" s="98"/>
      <c r="J97" s="98"/>
      <c r="K97" s="98">
        <v>7.5465663962938495E-2</v>
      </c>
      <c r="L97" s="98"/>
      <c r="M97" s="98">
        <v>0.11848379067624844</v>
      </c>
      <c r="O97" s="92">
        <v>11115023</v>
      </c>
    </row>
    <row r="98" spans="1:15" s="92" customFormat="1" hidden="1">
      <c r="B98" s="92">
        <v>7</v>
      </c>
      <c r="C98" s="92" t="s">
        <v>310</v>
      </c>
      <c r="D98" s="98">
        <v>0.14036087696105748</v>
      </c>
      <c r="E98" s="98">
        <v>8.4303618569132183E-2</v>
      </c>
      <c r="F98" s="98"/>
      <c r="G98" s="98">
        <v>0.11173925024695418</v>
      </c>
      <c r="H98" s="98"/>
      <c r="I98" s="98">
        <v>0.10467888193926944</v>
      </c>
      <c r="J98" s="98">
        <v>6.3765185832604265E-2</v>
      </c>
      <c r="K98" s="98"/>
      <c r="L98" s="98"/>
      <c r="M98" s="98">
        <v>7.1387652579262828E-2</v>
      </c>
      <c r="O98" s="92">
        <v>2480382</v>
      </c>
    </row>
    <row r="99" spans="1:15" s="92" customFormat="1" hidden="1">
      <c r="B99" s="92">
        <v>8</v>
      </c>
      <c r="C99" s="92" t="s">
        <v>168</v>
      </c>
      <c r="D99" s="98">
        <v>8.7326175858438826E-2</v>
      </c>
      <c r="E99" s="98">
        <v>0.10487819437947432</v>
      </c>
      <c r="F99" s="98">
        <v>8.6329339448131079E-2</v>
      </c>
      <c r="G99" s="98"/>
      <c r="H99" s="98"/>
      <c r="I99" s="98"/>
      <c r="J99" s="98"/>
      <c r="K99" s="98"/>
      <c r="L99" s="98"/>
      <c r="M99" s="98"/>
      <c r="O99" s="92">
        <v>7434864</v>
      </c>
    </row>
    <row r="100" spans="1:15" s="92" customFormat="1" hidden="1">
      <c r="B100" s="92">
        <v>9</v>
      </c>
      <c r="C100" s="92" t="s">
        <v>329</v>
      </c>
      <c r="D100" s="98"/>
      <c r="E100" s="98"/>
      <c r="F100" s="98">
        <v>5.3575441676922922E-2</v>
      </c>
      <c r="G100" s="98"/>
      <c r="H100" s="98"/>
      <c r="I100" s="98"/>
      <c r="J100" s="98"/>
      <c r="K100" s="98"/>
      <c r="L100" s="98"/>
      <c r="M100" s="98"/>
      <c r="O100" s="92">
        <v>8497745</v>
      </c>
    </row>
    <row r="101" spans="1:15" s="92" customFormat="1" hidden="1">
      <c r="B101" s="92">
        <v>10</v>
      </c>
      <c r="C101" s="92" t="s">
        <v>245</v>
      </c>
      <c r="D101" s="98">
        <v>0.422398503028239</v>
      </c>
      <c r="E101" s="98">
        <v>0.3258566449512883</v>
      </c>
      <c r="F101" s="98">
        <v>0.37454013555450977</v>
      </c>
      <c r="G101" s="98">
        <v>0.42538878870153057</v>
      </c>
      <c r="H101" s="98">
        <v>0.30067296455712078</v>
      </c>
      <c r="I101" s="98">
        <v>0.24144649720362149</v>
      </c>
      <c r="J101" s="98">
        <v>0.21591556916154531</v>
      </c>
      <c r="K101" s="98">
        <v>0.27911468290131253</v>
      </c>
      <c r="L101" s="98">
        <v>0.24519817288266707</v>
      </c>
      <c r="M101" s="98">
        <v>0.26780233253491875</v>
      </c>
      <c r="O101" s="92">
        <v>5920853</v>
      </c>
    </row>
    <row r="102" spans="1:15" s="92" customFormat="1" hidden="1">
      <c r="B102" s="92">
        <v>11</v>
      </c>
      <c r="D102" s="98"/>
      <c r="E102" s="98"/>
      <c r="F102" s="98"/>
      <c r="G102" s="98"/>
      <c r="H102" s="98"/>
      <c r="I102" s="98"/>
      <c r="J102" s="98"/>
      <c r="K102" s="98"/>
      <c r="L102" s="98"/>
      <c r="M102" s="98"/>
      <c r="O102" s="92">
        <v>2887140</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11</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5</v>
      </c>
      <c r="D120" s="54">
        <v>8</v>
      </c>
      <c r="E120" s="54">
        <v>5</v>
      </c>
      <c r="F120" s="55">
        <v>18</v>
      </c>
    </row>
    <row r="121" spans="1:15" ht="18" customHeight="1">
      <c r="A121" s="173" t="s">
        <v>191</v>
      </c>
      <c r="B121" s="33" t="s">
        <v>192</v>
      </c>
      <c r="C121" s="56">
        <v>16.854000091552734</v>
      </c>
      <c r="D121" s="56">
        <v>15.211249828338623</v>
      </c>
      <c r="E121" s="56">
        <v>12.831999778747559</v>
      </c>
      <c r="F121" s="57">
        <v>15.00666618347168</v>
      </c>
      <c r="G121" s="206"/>
      <c r="H121" s="206"/>
      <c r="I121" s="206"/>
      <c r="J121" s="206"/>
      <c r="K121" s="206"/>
      <c r="L121" s="206"/>
      <c r="M121" s="206"/>
      <c r="N121" s="206"/>
      <c r="O121" s="206"/>
    </row>
    <row r="122" spans="1:15" ht="18" customHeight="1">
      <c r="A122" s="174"/>
      <c r="B122" s="35" t="s">
        <v>184</v>
      </c>
      <c r="C122" s="58">
        <v>262.79998779296875</v>
      </c>
      <c r="D122" s="58">
        <v>200.25</v>
      </c>
      <c r="E122" s="58">
        <v>157.60000610351563</v>
      </c>
      <c r="F122" s="59">
        <v>205.77777099609375</v>
      </c>
      <c r="G122" s="206"/>
      <c r="H122" s="206"/>
      <c r="I122" s="206"/>
      <c r="J122" s="206"/>
      <c r="K122" s="206"/>
      <c r="L122" s="206"/>
      <c r="M122" s="206"/>
      <c r="N122" s="206"/>
      <c r="O122" s="206"/>
    </row>
    <row r="123" spans="1:15" ht="18" customHeight="1">
      <c r="A123" s="174"/>
      <c r="B123" s="35" t="s">
        <v>185</v>
      </c>
      <c r="C123" s="58">
        <v>71</v>
      </c>
      <c r="D123" s="58">
        <v>55.125</v>
      </c>
      <c r="E123" s="58">
        <v>33.400001525878906</v>
      </c>
      <c r="F123" s="59">
        <v>53.5</v>
      </c>
      <c r="G123" s="206"/>
      <c r="H123" s="206"/>
      <c r="I123" s="206"/>
      <c r="J123" s="206"/>
      <c r="K123" s="206"/>
      <c r="L123" s="206"/>
      <c r="M123" s="206"/>
      <c r="N123" s="206"/>
      <c r="O123" s="206"/>
    </row>
    <row r="124" spans="1:15" ht="18" customHeight="1">
      <c r="A124" s="174"/>
      <c r="B124" s="35" t="s">
        <v>186</v>
      </c>
      <c r="C124" s="58">
        <v>220.19154357910156</v>
      </c>
      <c r="D124" s="58">
        <v>175.1171875</v>
      </c>
      <c r="E124" s="58">
        <v>134.7655029296875</v>
      </c>
      <c r="F124" s="59">
        <v>176.42903137207031</v>
      </c>
      <c r="G124" s="206"/>
      <c r="H124" s="206"/>
      <c r="I124" s="206"/>
      <c r="J124" s="206"/>
      <c r="K124" s="206"/>
      <c r="L124" s="206"/>
      <c r="M124" s="206"/>
      <c r="N124" s="206"/>
      <c r="O124" s="206"/>
    </row>
    <row r="125" spans="1:15" ht="18" customHeight="1">
      <c r="A125" s="174"/>
      <c r="B125" s="35" t="s">
        <v>187</v>
      </c>
      <c r="C125" s="31">
        <v>251.61817932128906</v>
      </c>
      <c r="D125" s="31">
        <v>87.858100891113281</v>
      </c>
      <c r="E125" s="31">
        <v>26.356760025024414</v>
      </c>
      <c r="F125" s="60">
        <v>116.2633056640625</v>
      </c>
      <c r="G125" s="206"/>
      <c r="H125" s="206"/>
      <c r="I125" s="206"/>
      <c r="J125" s="206"/>
      <c r="K125" s="206"/>
      <c r="L125" s="206"/>
      <c r="M125" s="206"/>
      <c r="N125" s="206"/>
      <c r="O125" s="206"/>
    </row>
    <row r="126" spans="1:15" ht="18" customHeight="1">
      <c r="A126" s="174"/>
      <c r="B126" s="35" t="s">
        <v>193</v>
      </c>
      <c r="C126" s="31">
        <f ca="1">732.7118125*OFFSET($L$112,MATCH($N$1,$C$112:$C$113,0)-1,0)</f>
        <v>732.71181249999995</v>
      </c>
      <c r="D126" s="31">
        <f ca="1">278.093765625*OFFSET($L$112,MATCH($N$1,$C$112:$C$113,0)-1,0)</f>
        <v>278.093765625</v>
      </c>
      <c r="E126" s="31">
        <f ca="1">98.3354140625*OFFSET($L$112,MATCH($N$1,$C$112:$C$113,0)-1,0)</f>
        <v>98.335414062500007</v>
      </c>
      <c r="F126" s="60">
        <f ca="1">354.44365625*OFFSET($L$112,MATCH($N$1,$C$112:$C$113,0)-1,0)</f>
        <v>354.44365625</v>
      </c>
      <c r="G126" s="206"/>
      <c r="H126" s="206"/>
      <c r="I126" s="206"/>
      <c r="J126" s="206"/>
      <c r="K126" s="206"/>
      <c r="L126" s="206"/>
      <c r="M126" s="206"/>
      <c r="N126" s="206"/>
      <c r="O126" s="206"/>
    </row>
    <row r="127" spans="1:15" ht="18" customHeight="1">
      <c r="A127" s="174"/>
      <c r="B127" s="35" t="s">
        <v>189</v>
      </c>
      <c r="C127" s="58">
        <v>169.39999389648438</v>
      </c>
      <c r="D127" s="58">
        <v>122.25</v>
      </c>
      <c r="E127" s="58">
        <v>145.60000610351563</v>
      </c>
      <c r="F127" s="59">
        <v>141.83332824707031</v>
      </c>
      <c r="G127" s="206"/>
      <c r="H127" s="206"/>
      <c r="I127" s="206"/>
      <c r="J127" s="206"/>
      <c r="K127" s="206"/>
      <c r="L127" s="206"/>
      <c r="M127" s="206"/>
      <c r="N127" s="206"/>
      <c r="O127" s="206"/>
    </row>
    <row r="128" spans="1:15" ht="18" customHeight="1">
      <c r="A128" s="174"/>
      <c r="B128" s="35" t="s">
        <v>194</v>
      </c>
      <c r="C128" s="58">
        <v>33.799999237060547</v>
      </c>
      <c r="D128" s="58">
        <v>40</v>
      </c>
      <c r="E128" s="58">
        <v>35.400001525878906</v>
      </c>
      <c r="F128" s="59">
        <v>37</v>
      </c>
      <c r="G128" s="206"/>
      <c r="H128" s="206"/>
      <c r="I128" s="206"/>
      <c r="J128" s="206"/>
      <c r="K128" s="206"/>
      <c r="L128" s="206"/>
      <c r="M128" s="206"/>
      <c r="N128" s="206"/>
      <c r="O128" s="206"/>
    </row>
    <row r="129" spans="1:15" ht="18" customHeight="1">
      <c r="A129" s="174"/>
      <c r="B129" s="35" t="s">
        <v>195</v>
      </c>
      <c r="C129" s="61">
        <v>1.4853494167327881</v>
      </c>
      <c r="D129" s="61">
        <v>0.71867567191094706</v>
      </c>
      <c r="E129" s="61">
        <v>0.18102169036865234</v>
      </c>
      <c r="F129" s="62">
        <v>0.81971782445907593</v>
      </c>
      <c r="G129" s="206"/>
      <c r="H129" s="206"/>
      <c r="I129" s="206"/>
      <c r="J129" s="206"/>
      <c r="K129" s="206"/>
      <c r="L129" s="206"/>
      <c r="M129" s="206"/>
      <c r="N129" s="206"/>
      <c r="O129" s="206"/>
    </row>
    <row r="130" spans="1:15" ht="18" customHeight="1">
      <c r="A130" s="175"/>
      <c r="B130" s="37" t="s">
        <v>196</v>
      </c>
      <c r="C130" s="38">
        <f ca="1">2911.99870564363*OFFSET($L$112,MATCH($N$1,$C$112:$C$113,0)-1,0)</f>
        <v>2911.9987056436298</v>
      </c>
      <c r="D130" s="38">
        <f ca="1">3165.26037786379*OFFSET($L$112,MATCH($N$1,$C$112:$C$113,0)-1,0)</f>
        <v>3165.2603778637899</v>
      </c>
      <c r="E130" s="38">
        <f ca="1">3730.93710946017*OFFSET($L$112,MATCH($N$1,$C$112:$C$113,0)-1,0)</f>
        <v>3730.9371094601702</v>
      </c>
      <c r="F130" s="63">
        <f ca="1">3049*OFFSET($L$112,MATCH($N$1,$C$112:$C$113,0)-1,0)</f>
        <v>3049</v>
      </c>
      <c r="G130" s="206"/>
      <c r="H130" s="206"/>
      <c r="I130" s="206"/>
      <c r="J130" s="206"/>
      <c r="K130" s="206"/>
      <c r="L130" s="206"/>
      <c r="M130" s="206"/>
      <c r="N130" s="206"/>
      <c r="O130" s="206"/>
    </row>
    <row r="131" spans="1:15" ht="18" customHeight="1">
      <c r="A131" s="184" t="s">
        <v>197</v>
      </c>
      <c r="B131" s="33" t="s">
        <v>198</v>
      </c>
      <c r="C131" s="64">
        <v>5.5317719588728194</v>
      </c>
      <c r="D131" s="64">
        <v>3.4807521808601352</v>
      </c>
      <c r="E131" s="64">
        <v>0.97813256234782198</v>
      </c>
      <c r="F131" s="65">
        <v>3.7099456485360918</v>
      </c>
      <c r="G131" s="206"/>
      <c r="H131" s="206"/>
      <c r="I131" s="206"/>
      <c r="J131" s="206"/>
      <c r="K131" s="206"/>
      <c r="L131" s="206"/>
      <c r="M131" s="206"/>
      <c r="N131" s="206"/>
      <c r="O131" s="206"/>
    </row>
    <row r="132" spans="1:15" ht="18" customHeight="1">
      <c r="A132" s="185"/>
      <c r="B132" s="35" t="s">
        <v>199</v>
      </c>
      <c r="C132" s="61">
        <f ca="1">16.1085127841534*OFFSET($L$112,MATCH($N$1,$C$112:$C$113,0)-1,0)</f>
        <v>16.108512784153401</v>
      </c>
      <c r="D132" s="61">
        <f ca="1">11.0174869632396*OFFSET($L$112,MATCH($N$1,$C$112:$C$113,0)-1,0)</f>
        <v>11.0174869632396</v>
      </c>
      <c r="E132" s="61">
        <f ca="1">3.64935107483485*OFFSET($L$112,MATCH($N$1,$C$112:$C$113,0)-1,0)</f>
        <v>3.6493510748348501</v>
      </c>
      <c r="F132" s="62">
        <f ca="1">11.3102469661016*OFFSET($L$112,MATCH($N$1,$C$112:$C$113,0)-1,0)</f>
        <v>11.3102469661016</v>
      </c>
      <c r="G132" s="206"/>
      <c r="H132" s="206"/>
      <c r="I132" s="206"/>
      <c r="J132" s="206"/>
      <c r="K132" s="206"/>
      <c r="L132" s="206"/>
      <c r="M132" s="206"/>
      <c r="N132" s="206"/>
      <c r="O132" s="206"/>
    </row>
    <row r="133" spans="1:15" ht="18" customHeight="1">
      <c r="A133" s="185"/>
      <c r="B133" s="35" t="s">
        <v>154</v>
      </c>
      <c r="C133" s="61">
        <f ca="1">12.8553397611353*OFFSET($L$112,MATCH($N$1,$C$112:$C$113,0)-1,0)</f>
        <v>12.8553397611353</v>
      </c>
      <c r="D133" s="61">
        <f ca="1">9.44095820808304*OFFSET($L$112,MATCH($N$1,$C$112:$C$113,0)-1,0)</f>
        <v>9.4409582080830408</v>
      </c>
      <c r="E133" s="61">
        <f ca="1">4.12403633946133*OFFSET($L$112,MATCH($N$1,$C$112:$C$113,0)-1,0)</f>
        <v>4.1240363394613304</v>
      </c>
      <c r="F133" s="62">
        <f ca="1">9.54764970803103*OFFSET($L$112,MATCH($N$1,$C$112:$C$113,0)-1,0)</f>
        <v>9.5476497080310292</v>
      </c>
      <c r="G133" s="206"/>
      <c r="H133" s="206"/>
      <c r="I133" s="206"/>
      <c r="J133" s="206"/>
      <c r="K133" s="206"/>
      <c r="L133" s="206"/>
      <c r="M133" s="206"/>
      <c r="N133" s="206"/>
      <c r="O133" s="206"/>
    </row>
    <row r="134" spans="1:15" ht="18" customHeight="1">
      <c r="A134" s="186"/>
      <c r="B134" s="37" t="s">
        <v>155</v>
      </c>
      <c r="C134" s="66">
        <f ca="1">3.25317302301807*OFFSET($L$112,MATCH($N$1,$C$112:$C$113,0)-1,0)</f>
        <v>3.25317302301807</v>
      </c>
      <c r="D134" s="66">
        <f ca="1">1.57652875515652*OFFSET($L$112,MATCH($N$1,$C$112:$C$113,0)-1,0)</f>
        <v>1.5765287551565199</v>
      </c>
      <c r="E134" s="66">
        <f ca="1">-0.474685264626475*OFFSET($L$112,MATCH($N$1,$C$112:$C$113,0)-1,0)</f>
        <v>-0.47468526462647498</v>
      </c>
      <c r="F134" s="67">
        <f ca="1">1.76259725807061*OFFSET($L$112,MATCH($N$1,$C$112:$C$113,0)-1,0)</f>
        <v>1.76259725807061</v>
      </c>
      <c r="G134" s="206"/>
      <c r="H134" s="206"/>
      <c r="I134" s="206"/>
      <c r="J134" s="206"/>
      <c r="K134" s="206"/>
      <c r="L134" s="206"/>
      <c r="M134" s="206"/>
      <c r="N134" s="206"/>
      <c r="O134" s="206"/>
    </row>
    <row r="135" spans="1:15" ht="18" customHeight="1">
      <c r="A135" s="187" t="s">
        <v>254</v>
      </c>
      <c r="B135" s="35" t="s">
        <v>255</v>
      </c>
      <c r="C135" s="68">
        <f ca="1">68.145109375*OFFSET($L$112,MATCH($N$1,$C$112:$C$113,0)-1,0)</f>
        <v>68.145109375000004</v>
      </c>
      <c r="D135" s="68">
        <f ca="1">42.232515625*OFFSET($L$112,MATCH($N$1,$C$112:$C$113,0)-1,0)</f>
        <v>42.232515624999998</v>
      </c>
      <c r="E135" s="68">
        <f ca="1">41.79565625*OFFSET($L$112,MATCH($N$1,$C$112:$C$113,0)-1,0)</f>
        <v>41.79565625</v>
      </c>
      <c r="F135" s="69">
        <f ca="1">49.309109375*OFFSET($L$112,MATCH($N$1,$C$112:$C$113,0)-1,0)</f>
        <v>49.309109374999998</v>
      </c>
      <c r="G135" s="206"/>
      <c r="H135" s="206"/>
      <c r="I135" s="206"/>
      <c r="J135" s="206"/>
      <c r="K135" s="206"/>
      <c r="L135" s="206"/>
      <c r="M135" s="206"/>
      <c r="N135" s="206"/>
      <c r="O135" s="206"/>
    </row>
    <row r="136" spans="1:15" ht="18" customHeight="1">
      <c r="A136" s="188"/>
      <c r="B136" s="35" t="s">
        <v>256</v>
      </c>
      <c r="C136" s="30">
        <v>130039.99216521904</v>
      </c>
      <c r="D136" s="30">
        <v>80556.250579833984</v>
      </c>
      <c r="E136" s="30">
        <v>78850.001449903473</v>
      </c>
      <c r="F136" s="70">
        <v>93827.777777777781</v>
      </c>
      <c r="G136" s="206"/>
      <c r="H136" s="206"/>
      <c r="I136" s="206"/>
      <c r="J136" s="206"/>
      <c r="K136" s="206"/>
      <c r="L136" s="206"/>
      <c r="M136" s="206"/>
      <c r="N136" s="206"/>
      <c r="O136" s="206"/>
    </row>
    <row r="137" spans="1:15" ht="18" customHeight="1">
      <c r="A137" s="188"/>
      <c r="B137" s="35" t="s">
        <v>257</v>
      </c>
      <c r="C137" s="30">
        <v>767.6505126953125</v>
      </c>
      <c r="D137" s="30">
        <v>658.94683500886697</v>
      </c>
      <c r="E137" s="30">
        <v>541.55218505859375</v>
      </c>
      <c r="F137" s="70">
        <v>661.53546142578125</v>
      </c>
      <c r="G137" s="206"/>
      <c r="H137" s="206"/>
      <c r="I137" s="206"/>
      <c r="J137" s="206"/>
      <c r="K137" s="206"/>
      <c r="L137" s="206"/>
      <c r="M137" s="206"/>
      <c r="N137" s="206"/>
      <c r="O137" s="206"/>
    </row>
    <row r="138" spans="1:15" ht="18" customHeight="1">
      <c r="A138" s="188"/>
      <c r="B138" s="35" t="s">
        <v>258</v>
      </c>
      <c r="C138" s="30">
        <f ca="1">402.273387427874*OFFSET($L$112,MATCH($N$1,$C$112:$C$113,0)-1,0)</f>
        <v>402.27338742787401</v>
      </c>
      <c r="D138" s="30">
        <f ca="1">345.460250511247*OFFSET($L$112,MATCH($N$1,$C$112:$C$113,0)-1,0)</f>
        <v>345.46025051124701</v>
      </c>
      <c r="E138" s="30">
        <f ca="1">287.058066606707*OFFSET($L$112,MATCH($N$1,$C$112:$C$113,0)-1,0)</f>
        <v>287.05806660670697</v>
      </c>
      <c r="F138" s="70">
        <f ca="1">347.655307708106*OFFSET($L$112,MATCH($N$1,$C$112:$C$113,0)-1,0)</f>
        <v>347.65530770810602</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270.827447996061*OFFSET($L$112,MATCH($N$1,$C$112:$C$113,0)-1,0)</f>
        <v>270.82744799606098</v>
      </c>
      <c r="D139" s="30">
        <f ca="1">480.690058135228*OFFSET($L$112,MATCH($N$1,$C$112:$C$113,0)-1,0)</f>
        <v>480.69005813522801</v>
      </c>
      <c r="E139" s="30">
        <f ca="1">1585.76608848421*OFFSET($L$112,MATCH($N$1,$C$112:$C$113,0)-1,0)</f>
        <v>1585.7660884842101</v>
      </c>
      <c r="F139" s="70">
        <f ca="1">424.115838555945*OFFSET($L$112,MATCH($N$1,$C$112:$C$113,0)-1,0)</f>
        <v>424.115838555945</v>
      </c>
      <c r="G139" s="206"/>
      <c r="H139" s="206"/>
      <c r="I139" s="46"/>
      <c r="J139" s="206"/>
      <c r="K139" s="71" t="s">
        <v>260</v>
      </c>
      <c r="L139" s="72">
        <f t="shared" ref="L139:M141" ca="1" si="2">C140</f>
        <v>810.01218749999998</v>
      </c>
      <c r="M139" s="72">
        <f t="shared" ca="1" si="2"/>
        <v>307.43239062499998</v>
      </c>
      <c r="N139" s="72">
        <f ca="1">E140</f>
        <v>108.709703125</v>
      </c>
      <c r="O139" s="72"/>
    </row>
    <row r="140" spans="1:15" ht="18" customHeight="1">
      <c r="A140" s="166" t="s">
        <v>261</v>
      </c>
      <c r="B140" s="33" t="s">
        <v>262</v>
      </c>
      <c r="C140" s="73">
        <f ca="1">810.0121875*OFFSET($L$112,MATCH($N$1,$C$112:$C$113,0)-1,0)</f>
        <v>810.01218749999998</v>
      </c>
      <c r="D140" s="73">
        <f ca="1">307.432390625*OFFSET($L$112,MATCH($N$1,$C$112:$C$113,0)-1,0)</f>
        <v>307.43239062499998</v>
      </c>
      <c r="E140" s="73">
        <f ca="1">108.709703125*OFFSET($L$112,MATCH($N$1,$C$112:$C$113,0)-1,0)</f>
        <v>108.709703125</v>
      </c>
      <c r="F140" s="74">
        <f ca="1">391.837125*OFFSET($L$112,MATCH($N$1,$C$112:$C$113,0)-1,0)</f>
        <v>391.83712500000001</v>
      </c>
      <c r="G140" s="206"/>
      <c r="H140" s="206"/>
      <c r="I140" s="46"/>
      <c r="J140" s="206"/>
      <c r="K140" s="71" t="s">
        <v>263</v>
      </c>
      <c r="L140" s="72">
        <f t="shared" ca="1" si="2"/>
        <v>662.03837499999997</v>
      </c>
      <c r="M140" s="72">
        <f t="shared" ca="1" si="2"/>
        <v>267.63903125000002</v>
      </c>
      <c r="N140" s="72">
        <f ca="1">E141</f>
        <v>121.5005703125</v>
      </c>
      <c r="O140" s="72"/>
    </row>
    <row r="141" spans="1:15" ht="18" customHeight="1">
      <c r="A141" s="167"/>
      <c r="B141" s="35" t="s">
        <v>264</v>
      </c>
      <c r="C141" s="30">
        <f ca="1">662.038375*OFFSET($L$112,MATCH($N$1,$C$112:$C$113,0)-1,0)</f>
        <v>662.03837499999997</v>
      </c>
      <c r="D141" s="30">
        <f ca="1">267.63903125*OFFSET($L$112,MATCH($N$1,$C$112:$C$113,0)-1,0)</f>
        <v>267.63903125000002</v>
      </c>
      <c r="E141" s="30">
        <f ca="1">121.5005703125*OFFSET($L$112,MATCH($N$1,$C$112:$C$113,0)-1,0)</f>
        <v>121.5005703125</v>
      </c>
      <c r="F141" s="70">
        <f ca="1">336.600375*OFFSET($L$112,MATCH($N$1,$C$112:$C$113,0)-1,0)</f>
        <v>336.60037499999999</v>
      </c>
      <c r="G141" s="206"/>
      <c r="H141" s="206"/>
      <c r="I141" s="46"/>
      <c r="J141" s="206"/>
      <c r="K141" s="71" t="s">
        <v>265</v>
      </c>
      <c r="L141" s="72">
        <f t="shared" ca="1" si="2"/>
        <v>147.97381250000001</v>
      </c>
      <c r="M141" s="72">
        <f t="shared" ca="1" si="2"/>
        <v>39.793359375000001</v>
      </c>
      <c r="N141" s="72">
        <f ca="1">E142</f>
        <v>-12.7908671875</v>
      </c>
      <c r="O141" s="72"/>
    </row>
    <row r="142" spans="1:15" ht="18" customHeight="1">
      <c r="A142" s="168"/>
      <c r="B142" s="37" t="s">
        <v>266</v>
      </c>
      <c r="C142" s="38">
        <f ca="1">147.9738125*OFFSET($L$112,MATCH($N$1,$C$112:$C$113,0)-1,0)</f>
        <v>147.97381250000001</v>
      </c>
      <c r="D142" s="38">
        <f ca="1">39.793359375*OFFSET($L$112,MATCH($N$1,$C$112:$C$113,0)-1,0)</f>
        <v>39.793359375000001</v>
      </c>
      <c r="E142" s="38">
        <f ca="1">-12.7908671875*OFFSET($L$112,MATCH($N$1,$C$112:$C$113,0)-1,0)</f>
        <v>-12.7908671875</v>
      </c>
      <c r="F142" s="63">
        <f ca="1">55.23676171875*OFFSET($L$112,MATCH($N$1,$C$112:$C$113,0)-1,0)</f>
        <v>55.236761718750003</v>
      </c>
      <c r="G142" s="206"/>
      <c r="H142" s="206"/>
      <c r="I142" s="46"/>
      <c r="J142" s="206"/>
      <c r="K142" s="71" t="s">
        <v>267</v>
      </c>
      <c r="L142" s="75">
        <f ca="1">IFERROR(L140/L$139,"")</f>
        <v>0.81731902953620683</v>
      </c>
      <c r="M142" s="75">
        <f t="shared" ref="M142:N143" ca="1" si="3">IFERROR(M140/M$139,"")</f>
        <v>0.87056224201327204</v>
      </c>
      <c r="N142" s="75">
        <f t="shared" ca="1" si="3"/>
        <v>1.1176607682645623</v>
      </c>
      <c r="O142" s="75"/>
    </row>
    <row r="143" spans="1:15" ht="18" customHeight="1">
      <c r="A143" s="206"/>
      <c r="B143" s="206"/>
      <c r="C143" s="206"/>
      <c r="D143" s="206"/>
      <c r="E143" s="206"/>
      <c r="F143" s="206"/>
      <c r="G143" s="206"/>
      <c r="H143" s="206"/>
      <c r="I143" s="46"/>
      <c r="J143" s="206"/>
      <c r="K143" s="71" t="s">
        <v>268</v>
      </c>
      <c r="L143" s="75">
        <f ca="1">IFERROR(L141/L$139,"")</f>
        <v>0.1826809704637932</v>
      </c>
      <c r="M143" s="75">
        <f t="shared" ca="1" si="3"/>
        <v>0.1294377579867281</v>
      </c>
      <c r="N143" s="75">
        <f t="shared" ca="1" si="3"/>
        <v>-0.1176607682645624</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10</v>
      </c>
      <c r="B161" s="51"/>
      <c r="C161" s="76" t="s">
        <v>249</v>
      </c>
      <c r="D161" s="76" t="s">
        <v>270</v>
      </c>
      <c r="E161" s="76" t="s">
        <v>251</v>
      </c>
      <c r="F161" s="76" t="s">
        <v>271</v>
      </c>
      <c r="G161" s="77">
        <v>9</v>
      </c>
      <c r="H161" s="76"/>
      <c r="I161" s="76" t="s">
        <v>249</v>
      </c>
      <c r="J161" s="76" t="s">
        <v>270</v>
      </c>
      <c r="K161" s="76" t="s">
        <v>251</v>
      </c>
      <c r="L161" s="51" t="s">
        <v>271</v>
      </c>
      <c r="R161" s="206"/>
      <c r="S161" s="206"/>
    </row>
    <row r="162" spans="1:19" s="46" customFormat="1">
      <c r="A162" s="47">
        <v>1</v>
      </c>
      <c r="B162" s="51" t="s">
        <v>160</v>
      </c>
      <c r="C162" s="51">
        <v>0</v>
      </c>
      <c r="D162" s="51">
        <v>0.20744967737584022</v>
      </c>
      <c r="E162" s="51">
        <v>0.36577865922205577</v>
      </c>
      <c r="F162" s="47">
        <v>3050596</v>
      </c>
      <c r="G162" s="47">
        <v>1</v>
      </c>
      <c r="H162" s="51" t="s">
        <v>169</v>
      </c>
      <c r="I162" s="51">
        <v>0.24607584982299352</v>
      </c>
      <c r="J162" s="51">
        <v>0.44447479254927641</v>
      </c>
      <c r="K162" s="51">
        <v>0.42076011926739204</v>
      </c>
      <c r="L162" s="47">
        <v>12153634</v>
      </c>
      <c r="R162" s="206"/>
      <c r="S162" s="206"/>
    </row>
    <row r="163" spans="1:19" s="46" customFormat="1">
      <c r="A163" s="47">
        <v>2</v>
      </c>
      <c r="B163" s="51" t="s">
        <v>169</v>
      </c>
      <c r="C163" s="51">
        <v>0.13744005961025127</v>
      </c>
      <c r="D163" s="51">
        <v>0.25334559923840272</v>
      </c>
      <c r="E163" s="51">
        <v>0.31644329128776971</v>
      </c>
      <c r="F163" s="47">
        <v>12153634</v>
      </c>
      <c r="G163" s="47">
        <v>2</v>
      </c>
      <c r="H163" s="51" t="s">
        <v>160</v>
      </c>
      <c r="I163" s="51">
        <v>7.6560452539330942E-2</v>
      </c>
      <c r="J163" s="51">
        <v>0.21129845888103782</v>
      </c>
      <c r="K163" s="51">
        <v>0.31203875012242782</v>
      </c>
      <c r="L163" s="47">
        <v>3050596</v>
      </c>
      <c r="N163" s="46" t="s">
        <v>272</v>
      </c>
      <c r="R163" s="206"/>
      <c r="S163" s="206"/>
    </row>
    <row r="164" spans="1:19" s="46" customFormat="1">
      <c r="A164" s="47">
        <v>3</v>
      </c>
      <c r="B164" s="51" t="s">
        <v>161</v>
      </c>
      <c r="C164" s="51">
        <v>0.11325000502120988</v>
      </c>
      <c r="D164" s="51">
        <v>0.11667250241572978</v>
      </c>
      <c r="E164" s="51">
        <v>3.1015195766659107E-2</v>
      </c>
      <c r="F164" s="47">
        <v>1692097</v>
      </c>
      <c r="G164" s="47">
        <v>3</v>
      </c>
      <c r="H164" s="51" t="s">
        <v>161</v>
      </c>
      <c r="I164" s="51">
        <v>0.1324030558597229</v>
      </c>
      <c r="J164" s="51">
        <v>0.11548775611352054</v>
      </c>
      <c r="K164" s="51">
        <v>2.4994783145453645E-2</v>
      </c>
      <c r="L164" s="47">
        <v>1692097</v>
      </c>
      <c r="N164" s="46" t="s">
        <v>273</v>
      </c>
      <c r="R164" s="206"/>
      <c r="S164" s="206"/>
    </row>
    <row r="165" spans="1:19" s="46" customFormat="1">
      <c r="A165" s="47">
        <v>4</v>
      </c>
      <c r="B165" s="51" t="s">
        <v>241</v>
      </c>
      <c r="C165" s="51">
        <v>0.18625275693530965</v>
      </c>
      <c r="D165" s="51">
        <v>0.10521225428484003</v>
      </c>
      <c r="E165" s="51">
        <v>0</v>
      </c>
      <c r="F165" s="47">
        <v>553960</v>
      </c>
      <c r="G165" s="47">
        <v>4</v>
      </c>
      <c r="H165" s="51" t="s">
        <v>241</v>
      </c>
      <c r="I165" s="51">
        <v>0.19176523627833891</v>
      </c>
      <c r="J165" s="51">
        <v>9.4343386468012755E-2</v>
      </c>
      <c r="K165" s="51">
        <v>0</v>
      </c>
      <c r="L165" s="47">
        <v>553960</v>
      </c>
      <c r="R165" s="206"/>
      <c r="S165" s="206"/>
    </row>
    <row r="166" spans="1:19" s="46" customFormat="1">
      <c r="A166" s="47">
        <v>5</v>
      </c>
      <c r="B166" s="51" t="s">
        <v>244</v>
      </c>
      <c r="C166" s="51">
        <v>0</v>
      </c>
      <c r="D166" s="51">
        <v>0</v>
      </c>
      <c r="E166" s="51">
        <v>0.1152857921356166</v>
      </c>
      <c r="F166" s="47">
        <v>11115023</v>
      </c>
      <c r="G166" s="47">
        <v>5</v>
      </c>
      <c r="H166" s="51" t="s">
        <v>171</v>
      </c>
      <c r="I166" s="51">
        <v>0</v>
      </c>
      <c r="J166" s="51">
        <v>0</v>
      </c>
      <c r="K166" s="51">
        <v>0.14965590637126031</v>
      </c>
      <c r="L166" s="47">
        <v>2480382</v>
      </c>
      <c r="R166" s="206"/>
      <c r="S166" s="206"/>
    </row>
    <row r="167" spans="1:19" s="46" customFormat="1">
      <c r="A167" s="47">
        <v>6</v>
      </c>
      <c r="B167" s="51" t="s">
        <v>171</v>
      </c>
      <c r="C167" s="51">
        <v>0</v>
      </c>
      <c r="D167" s="51">
        <v>0</v>
      </c>
      <c r="E167" s="51">
        <v>7.5941050702575313E-2</v>
      </c>
      <c r="F167" s="47">
        <v>2480382</v>
      </c>
      <c r="G167" s="47">
        <v>6</v>
      </c>
      <c r="H167" s="51" t="s">
        <v>244</v>
      </c>
      <c r="I167" s="51">
        <v>0</v>
      </c>
      <c r="J167" s="51">
        <v>0</v>
      </c>
      <c r="K167" s="51">
        <v>3.9727171970076122E-2</v>
      </c>
      <c r="L167" s="47">
        <v>11115023</v>
      </c>
      <c r="R167" s="206"/>
      <c r="S167" s="206"/>
    </row>
    <row r="168" spans="1:19" s="46" customFormat="1">
      <c r="A168" s="47">
        <v>7</v>
      </c>
      <c r="B168" s="51" t="s">
        <v>157</v>
      </c>
      <c r="C168" s="51">
        <v>0.18059910505059973</v>
      </c>
      <c r="D168" s="51">
        <v>0</v>
      </c>
      <c r="E168" s="51">
        <v>0</v>
      </c>
      <c r="F168" s="47">
        <v>3689192</v>
      </c>
      <c r="G168" s="47">
        <v>7</v>
      </c>
      <c r="H168" s="51" t="s">
        <v>157</v>
      </c>
      <c r="I168" s="51">
        <v>9.6857837737710964E-2</v>
      </c>
      <c r="J168" s="51">
        <v>0</v>
      </c>
      <c r="K168" s="51">
        <v>0</v>
      </c>
      <c r="L168" s="47">
        <v>3689192</v>
      </c>
      <c r="R168" s="206"/>
      <c r="S168" s="206"/>
    </row>
    <row r="169" spans="1:19" s="46" customFormat="1">
      <c r="A169" s="47">
        <v>8</v>
      </c>
      <c r="B169" s="51" t="s">
        <v>345</v>
      </c>
      <c r="C169" s="51">
        <v>5.6900653591727218E-2</v>
      </c>
      <c r="D169" s="51">
        <v>0</v>
      </c>
      <c r="E169" s="51">
        <v>0</v>
      </c>
      <c r="F169" s="47">
        <v>7434864</v>
      </c>
      <c r="G169" s="47">
        <v>8</v>
      </c>
      <c r="H169" s="51" t="s">
        <v>245</v>
      </c>
      <c r="I169" s="51">
        <v>0.25633756776190275</v>
      </c>
      <c r="J169" s="51">
        <v>-0.3100791865611241</v>
      </c>
      <c r="K169" s="51">
        <v>5.2823269123390082E-2</v>
      </c>
      <c r="L169" s="47">
        <v>5920853</v>
      </c>
      <c r="R169" s="206"/>
      <c r="S169" s="206"/>
    </row>
    <row r="170" spans="1:19" s="46" customFormat="1">
      <c r="A170" s="47">
        <v>9</v>
      </c>
      <c r="B170" s="51" t="s">
        <v>245</v>
      </c>
      <c r="C170" s="51">
        <v>0.32555741979090225</v>
      </c>
      <c r="D170" s="51">
        <v>6.397436744678453E-2</v>
      </c>
      <c r="E170" s="51">
        <v>9.5536010885323486E-2</v>
      </c>
      <c r="F170" s="47">
        <v>5920853</v>
      </c>
      <c r="G170" s="47">
        <v>9</v>
      </c>
      <c r="H170" s="51"/>
      <c r="I170" s="51">
        <v>0</v>
      </c>
      <c r="J170" s="51">
        <v>0</v>
      </c>
      <c r="K170" s="51">
        <v>0</v>
      </c>
      <c r="L170" s="47"/>
      <c r="R170" s="206"/>
      <c r="S170" s="206"/>
    </row>
    <row r="171" spans="1:19" s="46" customFormat="1">
      <c r="A171" s="47">
        <v>10</v>
      </c>
      <c r="B171" s="51"/>
      <c r="C171" s="51">
        <v>0</v>
      </c>
      <c r="D171" s="51">
        <v>0</v>
      </c>
      <c r="E171" s="51">
        <v>0</v>
      </c>
      <c r="F171" s="47"/>
      <c r="G171" s="47">
        <v>10</v>
      </c>
      <c r="H171" s="51"/>
      <c r="I171" s="51">
        <v>0</v>
      </c>
      <c r="J171" s="51">
        <v>0</v>
      </c>
      <c r="K171" s="51">
        <v>0</v>
      </c>
      <c r="L171" s="47"/>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B3C09161-B41B-46B1-A3E7-39C38DEAF825}">
      <formula1>$C$112:$C$113</formula1>
    </dataValidation>
  </dataValidations>
  <hyperlinks>
    <hyperlink ref="O1:P1" location="Home_page" display="Back to home page" xr:uid="{887CB2A3-3416-49F7-8F0A-EC0BCDD1B02F}"/>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40937D58-8518-4009-8253-8CB472B202F9}">
          <x14:colorSeries rgb="FF323232"/>
          <x14:colorNegative rgb="FFD00000"/>
          <x14:colorAxis rgb="FF000000"/>
          <x14:colorMarkers rgb="FFD00000"/>
          <x14:colorFirst rgb="FFD00000"/>
          <x14:colorLast rgb="FFD00000"/>
          <x14:colorHigh rgb="FFD00000"/>
          <x14:colorLow rgb="FFD00000"/>
          <x14:sparklines>
            <x14:sparkline>
              <xm:f>'NSWOS demersal u24m u300kW'!D3:N3</xm:f>
              <xm:sqref>C3</xm:sqref>
            </x14:sparkline>
            <x14:sparkline>
              <xm:f>'NSWOS demersal u24m u300kW'!D4:N4</xm:f>
              <xm:sqref>C4</xm:sqref>
            </x14:sparkline>
            <x14:sparkline>
              <xm:f>'NSWOS demersal u24m u300kW'!D5:N5</xm:f>
              <xm:sqref>C5</xm:sqref>
            </x14:sparkline>
            <x14:sparkline>
              <xm:f>'NSWOS demersal u24m u300kW'!D6:N6</xm:f>
              <xm:sqref>C6</xm:sqref>
            </x14:sparkline>
            <x14:sparkline>
              <xm:f>'NSWOS demersal u24m u300kW'!D7:N7</xm:f>
              <xm:sqref>C7</xm:sqref>
            </x14:sparkline>
            <x14:sparkline>
              <xm:f>'NSWOS demersal u24m u300kW'!D8:N8</xm:f>
              <xm:sqref>C8</xm:sqref>
            </x14:sparkline>
            <x14:sparkline>
              <xm:f>'NSWOS demersal u24m u300kW'!D9:N9</xm:f>
              <xm:sqref>C9</xm:sqref>
            </x14:sparkline>
            <x14:sparkline>
              <xm:f>'NSWOS demersal u24m u300kW'!D10:N10</xm:f>
              <xm:sqref>C10</xm:sqref>
            </x14:sparkline>
            <x14:sparkline>
              <xm:f>'NSWOS demersal u24m u300kW'!D11:N11</xm:f>
              <xm:sqref>C11</xm:sqref>
            </x14:sparkline>
            <x14:sparkline>
              <xm:f>'NSWOS demersal u24m u300kW'!D12:N12</xm:f>
              <xm:sqref>C12</xm:sqref>
            </x14:sparkline>
            <x14:sparkline>
              <xm:f>'NSWOS demersal u24m u300kW'!D13:N13</xm:f>
              <xm:sqref>C13</xm:sqref>
            </x14:sparkline>
            <x14:sparkline>
              <xm:f>'NSWOS demersal u24m u300kW'!D14:N14</xm:f>
              <xm:sqref>C14</xm:sqref>
            </x14:sparkline>
            <x14:sparkline>
              <xm:f>'NSWOS demersal u24m u300kW'!D15:N15</xm:f>
              <xm:sqref>C15</xm:sqref>
            </x14:sparkline>
            <x14:sparkline>
              <xm:f>'NSWOS demersal u24m u300kW'!D16:N16</xm:f>
              <xm:sqref>C16</xm:sqref>
            </x14:sparkline>
            <x14:sparkline>
              <xm:f>'NSWOS demersal u24m u300kW'!D17:N17</xm:f>
              <xm:sqref>C17</xm:sqref>
            </x14:sparkline>
            <x14:sparkline>
              <xm:f>'NSWOS demersal u24m u300kW'!D18:N18</xm:f>
              <xm:sqref>C18</xm:sqref>
            </x14:sparkline>
            <x14:sparkline>
              <xm:f>'NSWOS demersal u24m u300kW'!D19:N19</xm:f>
              <xm:sqref>C19</xm:sqref>
            </x14:sparkline>
            <x14:sparkline>
              <xm:f>'NSWOS demersal u24m u300kW'!D20:N20</xm:f>
              <xm:sqref>C20</xm:sqref>
            </x14:sparkline>
            <x14:sparkline>
              <xm:f>'NSWOS demersal u24m u300kW'!D21:N21</xm:f>
              <xm:sqref>C21</xm:sqref>
            </x14:sparkline>
            <x14:sparkline>
              <xm:f>'NSWOS demersal u24m u300kW'!D22:N22</xm:f>
              <xm:sqref>C22</xm:sqref>
            </x14:sparkline>
            <x14:sparkline>
              <xm:f>'NSWOS demersal u24m u300kW'!D23:N23</xm:f>
              <xm:sqref>C23</xm:sqref>
            </x14:sparkline>
            <x14:sparkline>
              <xm:f>'NSWOS demersal u24m u300kW'!D24:N24</xm:f>
              <xm:sqref>C24</xm:sqref>
            </x14:sparkline>
            <x14:sparkline>
              <xm:f>'NSWOS demersal u24m u300kW'!D25:N25</xm:f>
              <xm:sqref>C25</xm:sqref>
            </x14:sparkline>
            <x14:sparkline>
              <xm:f>'NSWOS demersal u24m u300kW'!D26:N26</xm:f>
              <xm:sqref>C26</xm:sqref>
            </x14:sparkline>
            <x14:sparkline>
              <xm:f>'NSWOS demersal u24m u300kW'!D27:N27</xm:f>
              <xm:sqref>C27</xm:sqref>
            </x14:sparkline>
            <x14:sparkline>
              <xm:f>'NSWOS demersal u24m u300kW'!D28:N28</xm:f>
              <xm:sqref>C28</xm:sqref>
            </x14:sparkline>
            <x14:sparkline>
              <xm:f>'NSWOS demersal u24m u300kW'!D29:N29</xm:f>
              <xm:sqref>C29</xm:sqref>
            </x14:sparkline>
            <x14:sparkline>
              <xm:f>'NSWOS demersal u24m u300kW'!D30:N30</xm:f>
              <xm:sqref>C30</xm:sqref>
            </x14:sparkline>
            <x14:sparkline>
              <xm:f>'NSWOS demersal u24m u300kW'!D31:N31</xm:f>
              <xm:sqref>C31</xm:sqref>
            </x14:sparkline>
            <x14:sparkline>
              <xm:f>'NSWOS demersal u24m u300kW'!D32:N32</xm:f>
              <xm:sqref>C32</xm:sqref>
            </x14:sparkline>
            <x14:sparkline>
              <xm:f>'NSWOS demersal u24m u300kW'!D33:N33</xm:f>
              <xm:sqref>C33</xm:sqref>
            </x14:sparkline>
            <x14:sparkline>
              <xm:f>'NSWOS demersal u24m u300kW'!D34:N34</xm:f>
              <xm:sqref>C34</xm:sqref>
            </x14:sparkline>
            <x14:sparkline>
              <xm:f>'NSWOS demersal u24m u300kW'!D35:N35</xm:f>
              <xm:sqref>C35</xm:sqref>
            </x14:sparkline>
            <x14:sparkline>
              <xm:f>'NSWOS demersal u24m u300kW'!D36:N36</xm:f>
              <xm:sqref>C36</xm:sqref>
            </x14:sparkline>
            <x14:sparkline>
              <xm:f>'NSWOS demersal u24m u300kW'!D37:N37</xm:f>
              <xm:sqref>C37</xm:sqref>
            </x14:sparkline>
            <x14:sparkline>
              <xm:f>'NSWOS demersal u24m u300kW'!D38:N38</xm:f>
              <xm:sqref>C38</xm:sqref>
            </x14:sparkline>
            <x14:sparkline>
              <xm:f>'NSWOS demersal u24m u300kW'!D39:N39</xm:f>
              <xm:sqref>C39</xm:sqref>
            </x14:sparkline>
            <x14:sparkline>
              <xm:f>'NSWOS demersal u24m u300kW'!D40:N40</xm:f>
              <xm:sqref>C40</xm:sqref>
            </x14:sparkline>
            <x14:sparkline>
              <xm:f>'NSWOS demersal u24m u300kW'!D41:N41</xm:f>
              <xm:sqref>C41</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6A151-26D3-4613-AD39-EE6A3CF041A2}">
  <sheetPr codeName="Feuil27">
    <pageSetUpPr fitToPage="1"/>
  </sheetPr>
  <dimension ref="A1:S192"/>
  <sheetViews>
    <sheetView topLeftCell="A40"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29</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177</v>
      </c>
      <c r="E3" s="27">
        <v>179</v>
      </c>
      <c r="F3" s="27">
        <v>171</v>
      </c>
      <c r="G3" s="27">
        <v>172</v>
      </c>
      <c r="H3" s="27">
        <v>166</v>
      </c>
      <c r="I3" s="27">
        <v>159</v>
      </c>
      <c r="J3" s="27">
        <v>175</v>
      </c>
      <c r="K3" s="27">
        <v>179</v>
      </c>
      <c r="L3" s="27">
        <v>187</v>
      </c>
      <c r="M3" s="27">
        <v>181</v>
      </c>
      <c r="N3" s="27">
        <v>177</v>
      </c>
      <c r="O3" s="28">
        <f t="shared" ref="O3:O41" si="0">IF(N3=0,"",IFERROR(IF(AND(N3&gt;0,D3&lt;0),"na",IF(AND(N3&lt;0,D3&lt;0),-1,1)*(N3-D3)/D3),""))</f>
        <v>0</v>
      </c>
      <c r="P3" s="28">
        <f t="shared" ref="P3:P41" si="1">IF(N3=0,"",IFERROR(IF(AND(N3&gt;0,J3&lt;0),"na",IF(AND(N3&lt;0,J3&lt;0),-1,1)*(N3-J3)/J3),""))</f>
        <v>1.1428571428571429E-2</v>
      </c>
      <c r="Q3" s="206"/>
    </row>
    <row r="4" spans="1:17" ht="18" customHeight="1">
      <c r="A4" s="172"/>
      <c r="B4" s="29" t="s">
        <v>184</v>
      </c>
      <c r="C4" s="30"/>
      <c r="D4" s="30">
        <v>22517</v>
      </c>
      <c r="E4" s="30">
        <v>22691</v>
      </c>
      <c r="F4" s="30">
        <v>21943</v>
      </c>
      <c r="G4" s="30">
        <v>23146</v>
      </c>
      <c r="H4" s="30">
        <v>22261</v>
      </c>
      <c r="I4" s="30">
        <v>21429</v>
      </c>
      <c r="J4" s="30">
        <v>23507</v>
      </c>
      <c r="K4" s="30">
        <v>24302</v>
      </c>
      <c r="L4" s="30">
        <v>25861</v>
      </c>
      <c r="M4" s="30">
        <v>25371</v>
      </c>
      <c r="N4" s="30">
        <v>25568</v>
      </c>
      <c r="O4" s="28">
        <f t="shared" si="0"/>
        <v>0.13549762401740906</v>
      </c>
      <c r="P4" s="28">
        <f t="shared" si="1"/>
        <v>8.7676011400859316E-2</v>
      </c>
      <c r="Q4" s="206"/>
    </row>
    <row r="5" spans="1:17" ht="18" customHeight="1">
      <c r="A5" s="172"/>
      <c r="B5" s="29" t="s">
        <v>185</v>
      </c>
      <c r="C5" s="30"/>
      <c r="D5" s="30">
        <v>2193</v>
      </c>
      <c r="E5" s="30">
        <v>2196</v>
      </c>
      <c r="F5" s="30">
        <v>2130</v>
      </c>
      <c r="G5" s="30">
        <v>2159</v>
      </c>
      <c r="H5" s="30">
        <v>2711</v>
      </c>
      <c r="I5" s="30">
        <v>2601</v>
      </c>
      <c r="J5" s="30">
        <v>2829</v>
      </c>
      <c r="K5" s="30">
        <v>2235</v>
      </c>
      <c r="L5" s="30">
        <v>2371</v>
      </c>
      <c r="M5" s="30">
        <v>2258</v>
      </c>
      <c r="N5" s="30">
        <v>2270</v>
      </c>
      <c r="O5" s="28">
        <f t="shared" si="0"/>
        <v>3.511171910624715E-2</v>
      </c>
      <c r="P5" s="28">
        <f t="shared" si="1"/>
        <v>-0.19759632378932485</v>
      </c>
      <c r="Q5" s="207"/>
    </row>
    <row r="6" spans="1:17" ht="18" customHeight="1">
      <c r="A6" s="172"/>
      <c r="B6" s="29" t="s">
        <v>186</v>
      </c>
      <c r="C6" s="30"/>
      <c r="D6" s="30">
        <v>18028.267578125</v>
      </c>
      <c r="E6" s="30">
        <v>18146.884765625</v>
      </c>
      <c r="F6" s="30">
        <v>17428.03515625</v>
      </c>
      <c r="G6" s="30">
        <v>18101.677734375</v>
      </c>
      <c r="H6" s="30">
        <v>17523.87109375</v>
      </c>
      <c r="I6" s="30">
        <v>16935.609375</v>
      </c>
      <c r="J6" s="30">
        <v>18649.3125</v>
      </c>
      <c r="K6" s="30">
        <v>19273.150390625</v>
      </c>
      <c r="L6" s="30">
        <v>20368.35546875</v>
      </c>
      <c r="M6" s="30">
        <v>19808.94140625</v>
      </c>
      <c r="N6" s="30">
        <v>19857.259765625</v>
      </c>
      <c r="O6" s="28">
        <f t="shared" si="0"/>
        <v>0.10145135574309139</v>
      </c>
      <c r="P6" s="28">
        <f t="shared" si="1"/>
        <v>6.4771678077945233E-2</v>
      </c>
      <c r="Q6" s="206"/>
    </row>
    <row r="7" spans="1:17" ht="18" customHeight="1">
      <c r="A7" s="172"/>
      <c r="B7" s="29" t="s">
        <v>187</v>
      </c>
      <c r="C7" s="30"/>
      <c r="D7" s="30">
        <v>8930.1953125</v>
      </c>
      <c r="E7" s="30">
        <v>8805.9365234375</v>
      </c>
      <c r="F7" s="30">
        <v>8951.8828125</v>
      </c>
      <c r="G7" s="30">
        <v>10254.8134765625</v>
      </c>
      <c r="H7" s="30">
        <v>9743.056640625</v>
      </c>
      <c r="I7" s="30">
        <v>9816.04296875</v>
      </c>
      <c r="J7" s="30">
        <v>11697.775390625</v>
      </c>
      <c r="K7" s="30">
        <v>11158.4521484375</v>
      </c>
      <c r="L7" s="30">
        <v>10556.8076171875</v>
      </c>
      <c r="M7" s="30">
        <v>10108.251953125</v>
      </c>
      <c r="N7" s="30">
        <v>8623.8330078125</v>
      </c>
      <c r="O7" s="28">
        <f t="shared" si="0"/>
        <v>-3.4306338659656273E-2</v>
      </c>
      <c r="P7" s="28">
        <f t="shared" si="1"/>
        <v>-0.26278008255108604</v>
      </c>
      <c r="Q7" s="206"/>
    </row>
    <row r="8" spans="1:17" ht="18" customHeight="1">
      <c r="A8" s="172"/>
      <c r="B8" s="29" t="s">
        <v>188</v>
      </c>
      <c r="C8" s="31"/>
      <c r="D8" s="31">
        <f ca="1">22.101184*OFFSET(D$112,MATCH($N$1,$C$112:$C$113,0)-1,0)</f>
        <v>22.101184</v>
      </c>
      <c r="E8" s="31">
        <f ca="1">22.071178*OFFSET(E$112,MATCH($N$1,$C$112:$C$113,0)-1,0)</f>
        <v>22.071178</v>
      </c>
      <c r="F8" s="31">
        <f ca="1">21.133526*OFFSET(F$112,MATCH($N$1,$C$112:$C$113,0)-1,0)</f>
        <v>21.133526</v>
      </c>
      <c r="G8" s="31">
        <f ca="1">20.9603*OFFSET(G$112,MATCH($N$1,$C$112:$C$113,0)-1,0)</f>
        <v>20.9603</v>
      </c>
      <c r="H8" s="31">
        <f ca="1">22.013224*OFFSET(H$112,MATCH($N$1,$C$112:$C$113,0)-1,0)</f>
        <v>22.013224000000001</v>
      </c>
      <c r="I8" s="31">
        <f ca="1">22.775432*OFFSET(I$112,MATCH($N$1,$C$112:$C$113,0)-1,0)</f>
        <v>22.775431999999999</v>
      </c>
      <c r="J8" s="31">
        <f ca="1">27.854178*OFFSET(J$112,MATCH($N$1,$C$112:$C$113,0)-1,0)</f>
        <v>27.854178000000001</v>
      </c>
      <c r="K8" s="31">
        <f ca="1">30.060538*OFFSET(K$112,MATCH($N$1,$C$112:$C$113,0)-1,0)</f>
        <v>30.060538000000001</v>
      </c>
      <c r="L8" s="31">
        <f ca="1">34.953136*OFFSET(L$112,MATCH($N$1,$C$112:$C$113,0)-1,0)</f>
        <v>34.953136000000001</v>
      </c>
      <c r="M8" s="31">
        <f ca="1">34.135548*OFFSET(M$112,MATCH($N$1,$C$112:$C$113,0)-1,0)</f>
        <v>34.135548</v>
      </c>
      <c r="N8" s="31">
        <v>23.778417999999999</v>
      </c>
      <c r="O8" s="28">
        <f t="shared" ca="1" si="0"/>
        <v>7.5888875455722121E-2</v>
      </c>
      <c r="P8" s="28">
        <f t="shared" ca="1" si="1"/>
        <v>-0.14632490680572238</v>
      </c>
      <c r="Q8" s="206"/>
    </row>
    <row r="9" spans="1:17" ht="18" customHeight="1">
      <c r="A9" s="172"/>
      <c r="B9" s="29" t="s">
        <v>189</v>
      </c>
      <c r="C9" s="30"/>
      <c r="D9" s="30">
        <v>30203</v>
      </c>
      <c r="E9" s="30">
        <v>27752</v>
      </c>
      <c r="F9" s="30">
        <v>26254</v>
      </c>
      <c r="G9" s="30">
        <v>26080</v>
      </c>
      <c r="H9" s="30">
        <v>26421</v>
      </c>
      <c r="I9" s="30">
        <v>26021</v>
      </c>
      <c r="J9" s="30">
        <v>28028</v>
      </c>
      <c r="K9" s="30">
        <v>27023</v>
      </c>
      <c r="L9" s="30">
        <v>27340</v>
      </c>
      <c r="M9" s="30">
        <v>28313</v>
      </c>
      <c r="N9" s="30">
        <v>23938</v>
      </c>
      <c r="O9" s="28">
        <f t="shared" si="0"/>
        <v>-0.20742972552395458</v>
      </c>
      <c r="P9" s="28">
        <f t="shared" si="1"/>
        <v>-0.14592550306836022</v>
      </c>
      <c r="Q9" s="206"/>
    </row>
    <row r="10" spans="1:17" ht="18" customHeight="1">
      <c r="A10" s="172"/>
      <c r="B10" s="29" t="s">
        <v>190</v>
      </c>
      <c r="C10" s="30"/>
      <c r="D10" s="30">
        <v>455.80355834960938</v>
      </c>
      <c r="E10" s="30">
        <v>421.34341430664063</v>
      </c>
      <c r="F10" s="30">
        <v>284.44049072265625</v>
      </c>
      <c r="G10" s="30">
        <v>324.42572021484375</v>
      </c>
      <c r="H10" s="30">
        <v>399.213623046875</v>
      </c>
      <c r="I10" s="30">
        <v>385.50210571289063</v>
      </c>
      <c r="J10" s="30">
        <v>437.43362426757813</v>
      </c>
      <c r="K10" s="30">
        <v>380.8060302734375</v>
      </c>
      <c r="L10" s="30">
        <v>419.303466796875</v>
      </c>
      <c r="M10" s="30">
        <v>370.02471923828125</v>
      </c>
      <c r="N10" s="30">
        <v>318.7841796875</v>
      </c>
      <c r="O10" s="32">
        <f t="shared" si="0"/>
        <v>-0.30061059452504996</v>
      </c>
      <c r="P10" s="32">
        <f t="shared" si="1"/>
        <v>-0.27123988188777243</v>
      </c>
      <c r="Q10" s="206"/>
    </row>
    <row r="11" spans="1:17" ht="18" customHeight="1">
      <c r="A11" s="173" t="s">
        <v>191</v>
      </c>
      <c r="B11" s="33" t="s">
        <v>192</v>
      </c>
      <c r="C11" s="34"/>
      <c r="D11" s="34">
        <v>11.100282669067383</v>
      </c>
      <c r="E11" s="34">
        <v>11.09446907043457</v>
      </c>
      <c r="F11" s="34">
        <v>11.109999656677246</v>
      </c>
      <c r="G11" s="34">
        <v>11.100348472595215</v>
      </c>
      <c r="H11" s="34">
        <v>11.111385345458984</v>
      </c>
      <c r="I11" s="34">
        <v>11.083395957946777</v>
      </c>
      <c r="J11" s="34">
        <v>11.113656997680664</v>
      </c>
      <c r="K11" s="34">
        <v>11.118547439575195</v>
      </c>
      <c r="L11" s="34">
        <v>11.164384841918945</v>
      </c>
      <c r="M11" s="34">
        <v>11.197624206542969</v>
      </c>
      <c r="N11" s="34">
        <v>11.218926429748535</v>
      </c>
      <c r="O11" s="28">
        <f t="shared" si="0"/>
        <v>1.0688354902147774E-2</v>
      </c>
      <c r="P11" s="28">
        <f t="shared" si="1"/>
        <v>9.4720785507272746E-3</v>
      </c>
      <c r="Q11" s="206"/>
    </row>
    <row r="12" spans="1:17" ht="18" customHeight="1">
      <c r="A12" s="174"/>
      <c r="B12" s="35" t="s">
        <v>184</v>
      </c>
      <c r="C12" s="30"/>
      <c r="D12" s="30">
        <v>127.21469116210938</v>
      </c>
      <c r="E12" s="30">
        <v>126.76536560058594</v>
      </c>
      <c r="F12" s="30">
        <v>128.32164001464844</v>
      </c>
      <c r="G12" s="30">
        <v>134.56976318359375</v>
      </c>
      <c r="H12" s="30">
        <v>134.1024169921875</v>
      </c>
      <c r="I12" s="30">
        <v>134.77359008789063</v>
      </c>
      <c r="J12" s="30">
        <v>134.32571411132813</v>
      </c>
      <c r="K12" s="30">
        <v>135.76536560058594</v>
      </c>
      <c r="L12" s="30">
        <v>138.29411315917969</v>
      </c>
      <c r="M12" s="30">
        <v>140.1712646484375</v>
      </c>
      <c r="N12" s="30">
        <v>144.45198059082031</v>
      </c>
      <c r="O12" s="28">
        <f t="shared" si="0"/>
        <v>0.1354976321621966</v>
      </c>
      <c r="P12" s="28">
        <f t="shared" si="1"/>
        <v>7.5385912120293025E-2</v>
      </c>
      <c r="Q12" s="206"/>
    </row>
    <row r="13" spans="1:17" ht="18" customHeight="1">
      <c r="A13" s="174"/>
      <c r="B13" s="35" t="s">
        <v>185</v>
      </c>
      <c r="C13" s="30"/>
      <c r="D13" s="30">
        <v>12.389830589294434</v>
      </c>
      <c r="E13" s="30">
        <v>12.268156051635742</v>
      </c>
      <c r="F13" s="30">
        <v>12.456140518188477</v>
      </c>
      <c r="G13" s="30">
        <v>12.552325248718262</v>
      </c>
      <c r="H13" s="30">
        <v>16.331325531005859</v>
      </c>
      <c r="I13" s="30">
        <v>16.358489990234375</v>
      </c>
      <c r="J13" s="30">
        <v>16.165714263916016</v>
      </c>
      <c r="K13" s="30">
        <v>12.48603343963623</v>
      </c>
      <c r="L13" s="30">
        <v>12.679144859313965</v>
      </c>
      <c r="M13" s="30">
        <v>12.475137710571289</v>
      </c>
      <c r="N13" s="30">
        <v>12.824858665466309</v>
      </c>
      <c r="O13" s="28">
        <f t="shared" si="0"/>
        <v>3.5111704961306389E-2</v>
      </c>
      <c r="P13" s="28">
        <f t="shared" si="1"/>
        <v>-0.20666303659139471</v>
      </c>
      <c r="Q13" s="206"/>
    </row>
    <row r="14" spans="1:17" ht="18" customHeight="1">
      <c r="A14" s="174"/>
      <c r="B14" s="35" t="s">
        <v>186</v>
      </c>
      <c r="C14" s="30"/>
      <c r="D14" s="30">
        <v>101.85462188720703</v>
      </c>
      <c r="E14" s="30">
        <v>101.37924194335938</v>
      </c>
      <c r="F14" s="30">
        <v>101.9183349609375</v>
      </c>
      <c r="G14" s="30">
        <v>105.2423095703125</v>
      </c>
      <c r="H14" s="30">
        <v>105.56548309326172</v>
      </c>
      <c r="I14" s="30">
        <v>106.51326751708984</v>
      </c>
      <c r="J14" s="30">
        <v>106.5675048828125</v>
      </c>
      <c r="K14" s="30">
        <v>107.67123413085938</v>
      </c>
      <c r="L14" s="30">
        <v>108.92169189453125</v>
      </c>
      <c r="M14" s="30">
        <v>109.44166564941406</v>
      </c>
      <c r="N14" s="30">
        <v>112.18791198730469</v>
      </c>
      <c r="O14" s="28">
        <f t="shared" si="0"/>
        <v>0.10145136183943283</v>
      </c>
      <c r="P14" s="28">
        <f t="shared" si="1"/>
        <v>5.2740346230989429E-2</v>
      </c>
      <c r="Q14" s="206"/>
    </row>
    <row r="15" spans="1:17" ht="18" customHeight="1">
      <c r="A15" s="174"/>
      <c r="B15" s="35" t="s">
        <v>187</v>
      </c>
      <c r="C15" s="31"/>
      <c r="D15" s="31">
        <v>50.453079223632813</v>
      </c>
      <c r="E15" s="31">
        <v>49.195178985595703</v>
      </c>
      <c r="F15" s="31">
        <v>52.350193023681641</v>
      </c>
      <c r="G15" s="31">
        <v>59.621009826660156</v>
      </c>
      <c r="H15" s="31">
        <v>58.693111419677734</v>
      </c>
      <c r="I15" s="31">
        <v>61.736118316650391</v>
      </c>
      <c r="J15" s="31">
        <v>66.844436645507813</v>
      </c>
      <c r="K15" s="31">
        <v>62.337718963623047</v>
      </c>
      <c r="L15" s="31">
        <v>56.453514099121094</v>
      </c>
      <c r="M15" s="31">
        <v>55.846698760986328</v>
      </c>
      <c r="N15" s="31">
        <v>48.722221374511719</v>
      </c>
      <c r="O15" s="28">
        <f t="shared" si="0"/>
        <v>-3.430628765885789E-2</v>
      </c>
      <c r="P15" s="28">
        <f t="shared" si="1"/>
        <v>-0.27111029998057395</v>
      </c>
      <c r="Q15" s="206"/>
    </row>
    <row r="16" spans="1:17" ht="18" customHeight="1">
      <c r="A16" s="174"/>
      <c r="B16" s="35" t="s">
        <v>193</v>
      </c>
      <c r="C16" s="31"/>
      <c r="D16" s="31">
        <f ca="1">124.865453125*OFFSET(D$112,MATCH($N$1,$C$112:$C$113,0)-1,0)</f>
        <v>124.865453125</v>
      </c>
      <c r="E16" s="31">
        <f ca="1">123.302671875*OFFSET(E$112,MATCH($N$1,$C$112:$C$113,0)-1,0)</f>
        <v>123.302671875</v>
      </c>
      <c r="F16" s="31">
        <f ca="1">123.587875*OFFSET(F$112,MATCH($N$1,$C$112:$C$113,0)-1,0)</f>
        <v>123.587875</v>
      </c>
      <c r="G16" s="31">
        <f ca="1">121.862203125*OFFSET(G$112,MATCH($N$1,$C$112:$C$113,0)-1,0)</f>
        <v>121.86220312499999</v>
      </c>
      <c r="H16" s="31">
        <f ca="1">132.60978125*OFFSET(H$112,MATCH($N$1,$C$112:$C$113,0)-1,0)</f>
        <v>132.60978125</v>
      </c>
      <c r="I16" s="31">
        <f ca="1">143.24171875*OFFSET(I$112,MATCH($N$1,$C$112:$C$113,0)-1,0)</f>
        <v>143.24171874999999</v>
      </c>
      <c r="J16" s="31">
        <f ca="1">159.166734375*OFFSET(J$112,MATCH($N$1,$C$112:$C$113,0)-1,0)</f>
        <v>159.166734375</v>
      </c>
      <c r="K16" s="31">
        <f ca="1">167.93596875*OFFSET(K$112,MATCH($N$1,$C$112:$C$113,0)-1,0)</f>
        <v>167.93596875</v>
      </c>
      <c r="L16" s="31">
        <f ca="1">186.915171875*OFFSET(L$112,MATCH($N$1,$C$112:$C$113,0)-1,0)</f>
        <v>186.915171875</v>
      </c>
      <c r="M16" s="31">
        <f ca="1">188.5941875*OFFSET(M$112,MATCH($N$1,$C$112:$C$113,0)-1,0)</f>
        <v>188.5941875</v>
      </c>
      <c r="N16" s="31">
        <v>134.34134374999999</v>
      </c>
      <c r="O16" s="28">
        <f t="shared" ca="1" si="0"/>
        <v>7.5888809817667421E-2</v>
      </c>
      <c r="P16" s="28">
        <f t="shared" ca="1" si="1"/>
        <v>-0.15597097422700709</v>
      </c>
      <c r="Q16" s="206"/>
    </row>
    <row r="17" spans="1:16" ht="18" customHeight="1">
      <c r="A17" s="174"/>
      <c r="B17" s="35" t="s">
        <v>189</v>
      </c>
      <c r="C17" s="30"/>
      <c r="D17" s="30">
        <v>170.63841247558594</v>
      </c>
      <c r="E17" s="30">
        <v>155.03910827636719</v>
      </c>
      <c r="F17" s="30">
        <v>153.53216552734375</v>
      </c>
      <c r="G17" s="30">
        <v>151.62791442871094</v>
      </c>
      <c r="H17" s="30">
        <v>159.16264343261719</v>
      </c>
      <c r="I17" s="30">
        <v>163.65408325195313</v>
      </c>
      <c r="J17" s="30">
        <v>160.16000366210938</v>
      </c>
      <c r="K17" s="30">
        <v>150.96647644042969</v>
      </c>
      <c r="L17" s="30">
        <v>146.20320129394531</v>
      </c>
      <c r="M17" s="30">
        <v>156.4254150390625</v>
      </c>
      <c r="N17" s="30">
        <v>135.24293518066406</v>
      </c>
      <c r="O17" s="28">
        <f t="shared" si="0"/>
        <v>-0.20742971515857297</v>
      </c>
      <c r="P17" s="28">
        <f t="shared" si="1"/>
        <v>-0.15557609834982908</v>
      </c>
    </row>
    <row r="18" spans="1:16" ht="18" customHeight="1">
      <c r="A18" s="174"/>
      <c r="B18" s="35" t="s">
        <v>194</v>
      </c>
      <c r="C18" s="30"/>
      <c r="D18" s="30">
        <v>26.12994384765625</v>
      </c>
      <c r="E18" s="30">
        <v>27.117319107055664</v>
      </c>
      <c r="F18" s="30">
        <v>27.941520690917969</v>
      </c>
      <c r="G18" s="30">
        <v>27.622093200683594</v>
      </c>
      <c r="H18" s="30">
        <v>27.493976593017578</v>
      </c>
      <c r="I18" s="30">
        <v>27.553459167480469</v>
      </c>
      <c r="J18" s="30">
        <v>27.59428596496582</v>
      </c>
      <c r="K18" s="30">
        <v>28.072626113891602</v>
      </c>
      <c r="L18" s="30">
        <v>27.673797607421875</v>
      </c>
      <c r="M18" s="30">
        <v>28.060773849487305</v>
      </c>
      <c r="N18" s="30">
        <v>28.016948699951172</v>
      </c>
      <c r="O18" s="28">
        <f t="shared" si="0"/>
        <v>7.2216184745616224E-2</v>
      </c>
      <c r="P18" s="28">
        <f t="shared" si="1"/>
        <v>1.5317038299957151E-2</v>
      </c>
    </row>
    <row r="19" spans="1:16" ht="18" customHeight="1">
      <c r="A19" s="174"/>
      <c r="B19" s="35" t="s">
        <v>195</v>
      </c>
      <c r="C19" s="36"/>
      <c r="D19" s="36">
        <v>0.29567244648933411</v>
      </c>
      <c r="E19" s="36">
        <v>0.31730818748474121</v>
      </c>
      <c r="F19" s="36">
        <v>0.34097215533256531</v>
      </c>
      <c r="G19" s="36">
        <v>0.39320603013038635</v>
      </c>
      <c r="H19" s="36">
        <v>0.36876186728477478</v>
      </c>
      <c r="I19" s="36">
        <v>0.37723544239997864</v>
      </c>
      <c r="J19" s="36">
        <v>0.41736036539077759</v>
      </c>
      <c r="K19" s="36">
        <v>0.41292425990104675</v>
      </c>
      <c r="L19" s="36">
        <v>0.38613048195838928</v>
      </c>
      <c r="M19" s="36">
        <v>0.35701805353164673</v>
      </c>
      <c r="N19" s="36">
        <v>0.36025705933570862</v>
      </c>
      <c r="O19" s="28">
        <f t="shared" si="0"/>
        <v>0.21843297748308885</v>
      </c>
      <c r="P19" s="28">
        <f t="shared" si="1"/>
        <v>-0.13682014582674309</v>
      </c>
    </row>
    <row r="20" spans="1:16" ht="18" customHeight="1">
      <c r="A20" s="175"/>
      <c r="B20" s="37" t="s">
        <v>196</v>
      </c>
      <c r="C20" s="38"/>
      <c r="D20" s="38">
        <f ca="1">2475*OFFSET(D$112,MATCH($N$1,$C$112:$C$113,0)-1,0)</f>
        <v>2475</v>
      </c>
      <c r="E20" s="38">
        <f ca="1">2506*OFFSET(E$112,MATCH($N$1,$C$112:$C$113,0)-1,0)</f>
        <v>2506</v>
      </c>
      <c r="F20" s="38">
        <f ca="1">2361*OFFSET(F$112,MATCH($N$1,$C$112:$C$113,0)-1,0)</f>
        <v>2361</v>
      </c>
      <c r="G20" s="38">
        <f ca="1">2044*OFFSET(G$112,MATCH($N$1,$C$112:$C$113,0)-1,0)</f>
        <v>2044</v>
      </c>
      <c r="H20" s="38">
        <f ca="1">2259*OFFSET(H$112,MATCH($N$1,$C$112:$C$113,0)-1,0)</f>
        <v>2259</v>
      </c>
      <c r="I20" s="38">
        <f ca="1">2320*OFFSET(I$112,MATCH($N$1,$C$112:$C$113,0)-1,0)</f>
        <v>2320</v>
      </c>
      <c r="J20" s="38">
        <f ca="1">2381*OFFSET(J$112,MATCH($N$1,$C$112:$C$113,0)-1,0)</f>
        <v>2381</v>
      </c>
      <c r="K20" s="38">
        <f ca="1">2694*OFFSET(K$112,MATCH($N$1,$C$112:$C$113,0)-1,0)</f>
        <v>2694</v>
      </c>
      <c r="L20" s="38">
        <f ca="1">3311*OFFSET(L$112,MATCH($N$1,$C$112:$C$113,0)-1,0)</f>
        <v>3311</v>
      </c>
      <c r="M20" s="38">
        <f ca="1">3377*OFFSET(M$112,MATCH($N$1,$C$112:$C$113,0)-1,0)</f>
        <v>3377</v>
      </c>
      <c r="N20" s="38">
        <v>2757</v>
      </c>
      <c r="O20" s="32">
        <f t="shared" ca="1" si="0"/>
        <v>0.11393939393939394</v>
      </c>
      <c r="P20" s="32">
        <f t="shared" ca="1" si="1"/>
        <v>0.15791684166316675</v>
      </c>
    </row>
    <row r="21" spans="1:16" ht="18" customHeight="1">
      <c r="A21" s="176" t="s">
        <v>197</v>
      </c>
      <c r="B21" s="33" t="s">
        <v>198</v>
      </c>
      <c r="C21" s="39"/>
      <c r="D21" s="39">
        <v>2.2685021858678827</v>
      </c>
      <c r="E21" s="39">
        <v>2.4473436989740622</v>
      </c>
      <c r="F21" s="39">
        <v>2.5862568585868888</v>
      </c>
      <c r="G21" s="39">
        <v>2.9470989899997764</v>
      </c>
      <c r="H21" s="39">
        <v>2.7317684115728165</v>
      </c>
      <c r="I21" s="39">
        <v>2.778745358943667</v>
      </c>
      <c r="J21" s="39">
        <v>3.057889747382696</v>
      </c>
      <c r="K21" s="39">
        <v>2.9541785084541461</v>
      </c>
      <c r="L21" s="39">
        <v>2.6647131243453845</v>
      </c>
      <c r="M21" s="39">
        <v>2.4065377888311468</v>
      </c>
      <c r="N21" s="39">
        <v>2.4144945049821049</v>
      </c>
      <c r="O21" s="28">
        <f t="shared" si="0"/>
        <v>6.4356261159329062E-2</v>
      </c>
      <c r="P21" s="28">
        <f t="shared" si="1"/>
        <v>-0.21040498368238583</v>
      </c>
    </row>
    <row r="22" spans="1:16" ht="18" customHeight="1">
      <c r="A22" s="176"/>
      <c r="B22" s="35" t="s">
        <v>199</v>
      </c>
      <c r="C22" s="36"/>
      <c r="D22" s="36">
        <f ca="1">5.61427682338098*OFFSET(D$112,MATCH($N$1,$C$112:$C$113,0)-1,0)</f>
        <v>5.6142768233809797</v>
      </c>
      <c r="E22" s="36">
        <f ca="1">6.13401604186263*OFFSET(E$112,MATCH($N$1,$C$112:$C$113,0)-1,0)</f>
        <v>6.1340160418626297</v>
      </c>
      <c r="F22" s="36">
        <f ca="1">6.10561243226626*OFFSET(F$112,MATCH($N$1,$C$112:$C$113,0)-1,0)</f>
        <v>6.1056124322662599</v>
      </c>
      <c r="G22" s="36">
        <f ca="1">6.02371507616166*OFFSET(G$112,MATCH($N$1,$C$112:$C$113,0)-1,0)</f>
        <v>6.0237150761616602</v>
      </c>
      <c r="H22" s="36">
        <f ca="1">6.17209077389069*OFFSET(H$112,MATCH($N$1,$C$112:$C$113,0)-1,0)</f>
        <v>6.1720907738906901</v>
      </c>
      <c r="I22" s="36">
        <f ca="1">6.44731596408656*OFFSET(I$112,MATCH($N$1,$C$112:$C$113,0)-1,0)</f>
        <v>6.4473159640865596</v>
      </c>
      <c r="J22" s="36">
        <f ca="1">7.28129893218879*OFFSET(J$112,MATCH($N$1,$C$112:$C$113,0)-1,0)</f>
        <v>7.2812989321887898</v>
      </c>
      <c r="K22" s="36">
        <f ca="1">7.95846941347312*OFFSET(K$112,MATCH($N$1,$C$112:$C$113,0)-1,0)</f>
        <v>7.9584694134731198</v>
      </c>
      <c r="L22" s="36">
        <f ca="1">8.82275124202304*OFFSET(L$112,MATCH($N$1,$C$112:$C$113,0)-1,0)</f>
        <v>8.8227512420230401</v>
      </c>
      <c r="M22" s="36">
        <f ca="1">8.12687319111002*OFFSET(M$112,MATCH($N$1,$C$112:$C$113,0)-1,0)</f>
        <v>8.12687319111002</v>
      </c>
      <c r="N22" s="36">
        <v>6.6574640302827897</v>
      </c>
      <c r="O22" s="28">
        <f t="shared" ca="1" si="0"/>
        <v>0.18580972041802368</v>
      </c>
      <c r="P22" s="28">
        <f t="shared" ca="1" si="1"/>
        <v>-8.5676320628477839E-2</v>
      </c>
    </row>
    <row r="23" spans="1:16" ht="18" customHeight="1">
      <c r="A23" s="176"/>
      <c r="B23" s="35" t="s">
        <v>154</v>
      </c>
      <c r="C23" s="36"/>
      <c r="D23" s="36">
        <f ca="1">4.49394969667362*OFFSET(D$112,MATCH($N$1,$C$112:$C$113,0)-1,0)</f>
        <v>4.4939496966736199</v>
      </c>
      <c r="E23" s="36">
        <f ca="1">5.31880495072993*OFFSET(E$112,MATCH($N$1,$C$112:$C$113,0)-1,0)</f>
        <v>5.3188049507299304</v>
      </c>
      <c r="F23" s="36">
        <f ca="1">4.17238708880441*OFFSET(F$112,MATCH($N$1,$C$112:$C$113,0)-1,0)</f>
        <v>4.1723870888044097</v>
      </c>
      <c r="G23" s="36">
        <f ca="1">4.79235262408611*OFFSET(G$112,MATCH($N$1,$C$112:$C$113,0)-1,0)</f>
        <v>4.7923526240861101</v>
      </c>
      <c r="H23" s="36">
        <f ca="1">4.52168574758284*OFFSET(H$112,MATCH($N$1,$C$112:$C$113,0)-1,0)</f>
        <v>4.5216857475828398</v>
      </c>
      <c r="I23" s="36">
        <f ca="1">4.33773359619081*OFFSET(I$112,MATCH($N$1,$C$112:$C$113,0)-1,0)</f>
        <v>4.3377335961908097</v>
      </c>
      <c r="J23" s="36">
        <f ca="1">5.05517618737495*OFFSET(J$112,MATCH($N$1,$C$112:$C$113,0)-1,0)</f>
        <v>5.0551761873749497</v>
      </c>
      <c r="K23" s="36">
        <f ca="1">5.68724912622551*OFFSET(K$112,MATCH($N$1,$C$112:$C$113,0)-1,0)</f>
        <v>5.6872491262255096</v>
      </c>
      <c r="L23" s="36">
        <f ca="1">5.83994462627112*OFFSET(L$112,MATCH($N$1,$C$112:$C$113,0)-1,0)</f>
        <v>5.8399446262711203</v>
      </c>
      <c r="M23" s="36">
        <f ca="1">5.38816841188675*OFFSET(M$112,MATCH($N$1,$C$112:$C$113,0)-1,0)</f>
        <v>5.3881684118867499</v>
      </c>
      <c r="N23" s="36">
        <v>4.8935143829990047</v>
      </c>
      <c r="O23" s="28">
        <f t="shared" ca="1" si="0"/>
        <v>8.8911695344774083E-2</v>
      </c>
      <c r="P23" s="28">
        <f t="shared" ca="1" si="1"/>
        <v>-3.197945994042449E-2</v>
      </c>
    </row>
    <row r="24" spans="1:16" ht="18" customHeight="1">
      <c r="A24" s="176"/>
      <c r="B24" s="35" t="s">
        <v>155</v>
      </c>
      <c r="C24" s="36"/>
      <c r="D24" s="36">
        <f ca="1">1.33440257115882*OFFSET(D$112,MATCH($N$1,$C$112:$C$113,0)-1,0)</f>
        <v>1.3344025711588201</v>
      </c>
      <c r="E24" s="36">
        <f ca="1">0.834139643354168*OFFSET(E$112,MATCH($N$1,$C$112:$C$113,0)-1,0)</f>
        <v>0.83413964335416801</v>
      </c>
      <c r="F24" s="36">
        <f ca="1">1.99302086061193*OFFSET(F$112,MATCH($N$1,$C$112:$C$113,0)-1,0)</f>
        <v>1.99302086061193</v>
      </c>
      <c r="G24" s="36">
        <f ca="1">1.3498861938944*OFFSET(G$112,MATCH($N$1,$C$112:$C$113,0)-1,0)</f>
        <v>1.3498861938944</v>
      </c>
      <c r="H24" s="36">
        <f ca="1">1.78805056488239*OFFSET(H$112,MATCH($N$1,$C$112:$C$113,0)-1,0)</f>
        <v>1.7880505648823899</v>
      </c>
      <c r="I24" s="36">
        <f ca="1">2.23993588178675*OFFSET(I$112,MATCH($N$1,$C$112:$C$113,0)-1,0)</f>
        <v>2.2399358817867498</v>
      </c>
      <c r="J24" s="36">
        <f ca="1">2.47482417805985*OFFSET(J$112,MATCH($N$1,$C$112:$C$113,0)-1,0)</f>
        <v>2.4748241780598499</v>
      </c>
      <c r="K24" s="36">
        <f ca="1">3.0654903480557*OFFSET(K$112,MATCH($N$1,$C$112:$C$113,0)-1,0)</f>
        <v>3.0654903480556999</v>
      </c>
      <c r="L24" s="36">
        <f ca="1">3.26868879483132*OFFSET(L$112,MATCH($N$1,$C$112:$C$113,0)-1,0)</f>
        <v>3.2686887948313199</v>
      </c>
      <c r="M24" s="36">
        <f ca="1">2.92871462722685*OFFSET(M$112,MATCH($N$1,$C$112:$C$113,0)-1,0)</f>
        <v>2.9287146272268498</v>
      </c>
      <c r="N24" s="36">
        <v>2.397690520135308</v>
      </c>
      <c r="O24" s="28">
        <f t="shared" ca="1" si="0"/>
        <v>0.79682696358499128</v>
      </c>
      <c r="P24" s="28">
        <f t="shared" ca="1" si="1"/>
        <v>-3.1167328414017335E-2</v>
      </c>
    </row>
    <row r="25" spans="1:16" ht="18" customHeight="1">
      <c r="A25" s="176"/>
      <c r="B25" s="35" t="s">
        <v>200</v>
      </c>
      <c r="C25" s="31"/>
      <c r="D25" s="31">
        <f ca="1">48.5*OFFSET(D$112,MATCH($N$1,$C$112:$C$113,0)-1,0)</f>
        <v>48.5</v>
      </c>
      <c r="E25" s="31">
        <f ca="1">52.38*OFFSET(E$112,MATCH($N$1,$C$112:$C$113,0)-1,0)</f>
        <v>52.38</v>
      </c>
      <c r="F25" s="31">
        <f ca="1">74.31*OFFSET(F$112,MATCH($N$1,$C$112:$C$113,0)-1,0)</f>
        <v>74.31</v>
      </c>
      <c r="G25" s="31">
        <f ca="1">64.63*OFFSET(G$112,MATCH($N$1,$C$112:$C$113,0)-1,0)</f>
        <v>64.63</v>
      </c>
      <c r="H25" s="31">
        <f ca="1">55.14*OFFSET(H$112,MATCH($N$1,$C$112:$C$113,0)-1,0)</f>
        <v>55.14</v>
      </c>
      <c r="I25" s="31">
        <f ca="1">59.06*OFFSET(I$112,MATCH($N$1,$C$112:$C$113,0)-1,0)</f>
        <v>59.06</v>
      </c>
      <c r="J25" s="31">
        <f ca="1">63.69*OFFSET(J$112,MATCH($N$1,$C$112:$C$113,0)-1,0)</f>
        <v>63.69</v>
      </c>
      <c r="K25" s="31">
        <f ca="1">78.92*OFFSET(K$112,MATCH($N$1,$C$112:$C$113,0)-1,0)</f>
        <v>78.92</v>
      </c>
      <c r="L25" s="31">
        <f ca="1">83.35*OFFSET(L$112,MATCH($N$1,$C$112:$C$113,0)-1,0)</f>
        <v>83.35</v>
      </c>
      <c r="M25" s="31">
        <f ca="1">92.25*OFFSET(M$112,MATCH($N$1,$C$112:$C$113,0)-1,0)</f>
        <v>92.25</v>
      </c>
      <c r="N25" s="31">
        <v>74.569999999999993</v>
      </c>
      <c r="O25" s="28">
        <f t="shared" ca="1" si="0"/>
        <v>0.53752577319587613</v>
      </c>
      <c r="P25" s="28">
        <f t="shared" ca="1" si="1"/>
        <v>0.17082744543884434</v>
      </c>
    </row>
    <row r="26" spans="1:16" ht="18" customHeight="1">
      <c r="A26" s="177"/>
      <c r="B26" s="35" t="s">
        <v>201</v>
      </c>
      <c r="C26" s="31"/>
      <c r="D26" s="31">
        <f ca="1">11.53*OFFSET(D$112,MATCH($N$1,$C$112:$C$113,0)-1,0)</f>
        <v>11.53</v>
      </c>
      <c r="E26" s="31">
        <f ca="1">7.14*OFFSET(E$112,MATCH($N$1,$C$112:$C$113,0)-1,0)</f>
        <v>7.14</v>
      </c>
      <c r="F26" s="31">
        <f ca="1">24.23*OFFSET(F$112,MATCH($N$1,$C$112:$C$113,0)-1,0)</f>
        <v>24.23</v>
      </c>
      <c r="G26" s="31">
        <f ca="1">14.47*OFFSET(G$112,MATCH($N$1,$C$112:$C$113,0)-1,0)</f>
        <v>14.47</v>
      </c>
      <c r="H26" s="31">
        <f ca="1">15.97*OFFSET(H$112,MATCH($N$1,$C$112:$C$113,0)-1,0)</f>
        <v>15.97</v>
      </c>
      <c r="I26" s="31">
        <f ca="1">20.54*OFFSET(I$112,MATCH($N$1,$C$112:$C$113,0)-1,0)</f>
        <v>20.54</v>
      </c>
      <c r="J26" s="31">
        <f ca="1">21.64*OFFSET(J$112,MATCH($N$1,$C$112:$C$113,0)-1,0)</f>
        <v>21.64</v>
      </c>
      <c r="K26" s="31">
        <f ca="1">30.41*OFFSET(K$112,MATCH($N$1,$C$112:$C$113,0)-1,0)</f>
        <v>30.41</v>
      </c>
      <c r="L26" s="31">
        <f ca="1">30.86*OFFSET(L$112,MATCH($N$1,$C$112:$C$113,0)-1,0)</f>
        <v>30.86</v>
      </c>
      <c r="M26" s="31">
        <f ca="1">33.26*OFFSET(M$112,MATCH($N$1,$C$112:$C$113,0)-1,0)</f>
        <v>33.26</v>
      </c>
      <c r="N26" s="31">
        <v>26.87</v>
      </c>
      <c r="O26" s="32">
        <f t="shared" ca="1" si="0"/>
        <v>1.3304423243712058</v>
      </c>
      <c r="P26" s="32">
        <f t="shared" ca="1" si="1"/>
        <v>0.24168207024029575</v>
      </c>
    </row>
    <row r="27" spans="1:16" ht="18" customHeight="1">
      <c r="A27" s="166" t="s">
        <v>202</v>
      </c>
      <c r="B27" s="33" t="s">
        <v>193</v>
      </c>
      <c r="C27" s="34"/>
      <c r="D27" s="34">
        <f ca="1">124.9*OFFSET(D$112,MATCH($N$1,$C$112:$C$113,0)-1,0)</f>
        <v>124.9</v>
      </c>
      <c r="E27" s="34">
        <f ca="1">123.3*OFFSET(E$112,MATCH($N$1,$C$112:$C$113,0)-1,0)</f>
        <v>123.3</v>
      </c>
      <c r="F27" s="34">
        <f ca="1">123.6*OFFSET(F$112,MATCH($N$1,$C$112:$C$113,0)-1,0)</f>
        <v>123.6</v>
      </c>
      <c r="G27" s="34">
        <f ca="1">121.9*OFFSET(G$112,MATCH($N$1,$C$112:$C$113,0)-1,0)</f>
        <v>121.9</v>
      </c>
      <c r="H27" s="34">
        <f ca="1">132.6*OFFSET(H$112,MATCH($N$1,$C$112:$C$113,0)-1,0)</f>
        <v>132.6</v>
      </c>
      <c r="I27" s="34">
        <f ca="1">143.2*OFFSET(I$112,MATCH($N$1,$C$112:$C$113,0)-1,0)</f>
        <v>143.19999999999999</v>
      </c>
      <c r="J27" s="34">
        <f ca="1">159.2*OFFSET(J$112,MATCH($N$1,$C$112:$C$113,0)-1,0)</f>
        <v>159.19999999999999</v>
      </c>
      <c r="K27" s="34">
        <f ca="1">167.9*OFFSET(K$112,MATCH($N$1,$C$112:$C$113,0)-1,0)</f>
        <v>167.9</v>
      </c>
      <c r="L27" s="34">
        <f ca="1">186.9*OFFSET(L$112,MATCH($N$1,$C$112:$C$113,0)-1,0)</f>
        <v>186.9</v>
      </c>
      <c r="M27" s="34">
        <f ca="1">188.6*OFFSET(M$112,MATCH($N$1,$C$112:$C$113,0)-1,0)</f>
        <v>188.6</v>
      </c>
      <c r="N27" s="34">
        <v>134.30000000000001</v>
      </c>
      <c r="O27" s="28">
        <f t="shared" ca="1" si="0"/>
        <v>7.5260208166533268E-2</v>
      </c>
      <c r="P27" s="28">
        <f t="shared" ca="1" si="1"/>
        <v>-0.15640703517587926</v>
      </c>
    </row>
    <row r="28" spans="1:16" ht="18" customHeight="1">
      <c r="A28" s="178"/>
      <c r="B28" s="35" t="s">
        <v>203</v>
      </c>
      <c r="C28" s="31"/>
      <c r="D28" s="31">
        <f ca="1">4.8*OFFSET(D$112,MATCH($N$1,$C$112:$C$113,0)-1,0)</f>
        <v>4.8</v>
      </c>
      <c r="E28" s="31">
        <f ca="1">0.4*OFFSET(E$112,MATCH($N$1,$C$112:$C$113,0)-1,0)</f>
        <v>0.4</v>
      </c>
      <c r="F28" s="31">
        <f ca="1">1.2*OFFSET(F$112,MATCH($N$1,$C$112:$C$113,0)-1,0)</f>
        <v>1.2</v>
      </c>
      <c r="G28" s="31">
        <f ca="1">2.4*OFFSET(G$112,MATCH($N$1,$C$112:$C$113,0)-1,0)</f>
        <v>2.4</v>
      </c>
      <c r="H28" s="31">
        <f ca="1">3*OFFSET(H$112,MATCH($N$1,$C$112:$C$113,0)-1,0)</f>
        <v>3</v>
      </c>
      <c r="I28" s="31">
        <f ca="1">2.9*OFFSET(I$112,MATCH($N$1,$C$112:$C$113,0)-1,0)</f>
        <v>2.9</v>
      </c>
      <c r="J28" s="31">
        <f ca="1">5.4*OFFSET(J$112,MATCH($N$1,$C$112:$C$113,0)-1,0)</f>
        <v>5.4</v>
      </c>
      <c r="K28" s="31">
        <f ca="1">16.8*OFFSET(K$112,MATCH($N$1,$C$112:$C$113,0)-1,0)</f>
        <v>16.8</v>
      </c>
      <c r="L28" s="31">
        <f ca="1">6.1*OFFSET(L$112,MATCH($N$1,$C$112:$C$113,0)-1,0)</f>
        <v>6.1</v>
      </c>
      <c r="M28" s="31">
        <f ca="1">4.4*OFFSET(M$112,MATCH($N$1,$C$112:$C$113,0)-1,0)</f>
        <v>4.4000000000000004</v>
      </c>
      <c r="N28" s="31">
        <v>12.8</v>
      </c>
      <c r="O28" s="28">
        <f t="shared" ca="1" si="0"/>
        <v>1.6666666666666667</v>
      </c>
      <c r="P28" s="28">
        <f t="shared" ca="1" si="1"/>
        <v>1.3703703703703702</v>
      </c>
    </row>
    <row r="29" spans="1:16" ht="18" customHeight="1">
      <c r="A29" s="178"/>
      <c r="B29" s="40" t="s">
        <v>204</v>
      </c>
      <c r="C29" s="41"/>
      <c r="D29" s="41">
        <f ca="1">129.6*OFFSET(D$112,MATCH($N$1,$C$112:$C$113,0)-1,0)</f>
        <v>129.6</v>
      </c>
      <c r="E29" s="41">
        <f ca="1">123.7*OFFSET(E$112,MATCH($N$1,$C$112:$C$113,0)-1,0)</f>
        <v>123.7</v>
      </c>
      <c r="F29" s="41">
        <f ca="1">124.8*OFFSET(F$112,MATCH($N$1,$C$112:$C$113,0)-1,0)</f>
        <v>124.8</v>
      </c>
      <c r="G29" s="41">
        <f ca="1">124.3*OFFSET(G$112,MATCH($N$1,$C$112:$C$113,0)-1,0)</f>
        <v>124.3</v>
      </c>
      <c r="H29" s="41">
        <f ca="1">135.6*OFFSET(H$112,MATCH($N$1,$C$112:$C$113,0)-1,0)</f>
        <v>135.6</v>
      </c>
      <c r="I29" s="41">
        <f ca="1">146.1*OFFSET(I$112,MATCH($N$1,$C$112:$C$113,0)-1,0)</f>
        <v>146.1</v>
      </c>
      <c r="J29" s="41">
        <f ca="1">164.6*OFFSET(J$112,MATCH($N$1,$C$112:$C$113,0)-1,0)</f>
        <v>164.6</v>
      </c>
      <c r="K29" s="41">
        <f ca="1">184.7*OFFSET(K$112,MATCH($N$1,$C$112:$C$113,0)-1,0)</f>
        <v>184.7</v>
      </c>
      <c r="L29" s="41">
        <f ca="1">193*OFFSET(L$112,MATCH($N$1,$C$112:$C$113,0)-1,0)</f>
        <v>193</v>
      </c>
      <c r="M29" s="41">
        <f ca="1">193*OFFSET(M$112,MATCH($N$1,$C$112:$C$113,0)-1,0)</f>
        <v>193</v>
      </c>
      <c r="N29" s="41">
        <v>147.1</v>
      </c>
      <c r="O29" s="28">
        <f t="shared" ca="1" si="0"/>
        <v>0.13503086419753088</v>
      </c>
      <c r="P29" s="28">
        <f t="shared" ca="1" si="1"/>
        <v>-0.10631834750911301</v>
      </c>
    </row>
    <row r="30" spans="1:16" ht="18" customHeight="1">
      <c r="A30" s="178"/>
      <c r="B30" s="35" t="s">
        <v>205</v>
      </c>
      <c r="C30" s="31"/>
      <c r="D30" s="31">
        <f ca="1">12.3*OFFSET(D$112,MATCH($N$1,$C$112:$C$113,0)-1,0)</f>
        <v>12.3</v>
      </c>
      <c r="E30" s="31">
        <f ca="1">14.4*OFFSET(E$112,MATCH($N$1,$C$112:$C$113,0)-1,0)</f>
        <v>14.4</v>
      </c>
      <c r="F30" s="31">
        <f ca="1">14.9*OFFSET(F$112,MATCH($N$1,$C$112:$C$113,0)-1,0)</f>
        <v>14.9</v>
      </c>
      <c r="G30" s="31">
        <f ca="1">14.2*OFFSET(G$112,MATCH($N$1,$C$112:$C$113,0)-1,0)</f>
        <v>14.2</v>
      </c>
      <c r="H30" s="31">
        <f ca="1">13.5*OFFSET(H$112,MATCH($N$1,$C$112:$C$113,0)-1,0)</f>
        <v>13.5</v>
      </c>
      <c r="I30" s="31">
        <f ca="1">9.7*OFFSET(I$112,MATCH($N$1,$C$112:$C$113,0)-1,0)</f>
        <v>9.6999999999999993</v>
      </c>
      <c r="J30" s="31">
        <f ca="1">9.2*OFFSET(J$112,MATCH($N$1,$C$112:$C$113,0)-1,0)</f>
        <v>9.1999999999999993</v>
      </c>
      <c r="K30" s="31">
        <f ca="1">10.5*OFFSET(K$112,MATCH($N$1,$C$112:$C$113,0)-1,0)</f>
        <v>10.5</v>
      </c>
      <c r="L30" s="31">
        <f ca="1">12.2*OFFSET(L$112,MATCH($N$1,$C$112:$C$113,0)-1,0)</f>
        <v>12.2</v>
      </c>
      <c r="M30" s="31">
        <f ca="1">12.7*OFFSET(M$112,MATCH($N$1,$C$112:$C$113,0)-1,0)</f>
        <v>12.7</v>
      </c>
      <c r="N30" s="31">
        <v>8</v>
      </c>
      <c r="O30" s="28">
        <f t="shared" ca="1" si="0"/>
        <v>-0.34959349593495936</v>
      </c>
      <c r="P30" s="28">
        <f t="shared" ca="1" si="1"/>
        <v>-0.13043478260869559</v>
      </c>
    </row>
    <row r="31" spans="1:16" ht="18" customHeight="1">
      <c r="A31" s="178"/>
      <c r="B31" s="35" t="s">
        <v>206</v>
      </c>
      <c r="C31" s="31"/>
      <c r="D31" s="31">
        <f ca="1">34.4*OFFSET(D$112,MATCH($N$1,$C$112:$C$113,0)-1,0)</f>
        <v>34.4</v>
      </c>
      <c r="E31" s="31">
        <f ca="1">32.7*OFFSET(E$112,MATCH($N$1,$C$112:$C$113,0)-1,0)</f>
        <v>32.700000000000003</v>
      </c>
      <c r="F31" s="31">
        <f ca="1">30.3*OFFSET(F$112,MATCH($N$1,$C$112:$C$113,0)-1,0)</f>
        <v>30.3</v>
      </c>
      <c r="G31" s="31">
        <f ca="1">37.2*OFFSET(G$112,MATCH($N$1,$C$112:$C$113,0)-1,0)</f>
        <v>37.200000000000003</v>
      </c>
      <c r="H31" s="31">
        <f ca="1">40.2*OFFSET(H$112,MATCH($N$1,$C$112:$C$113,0)-1,0)</f>
        <v>40.200000000000003</v>
      </c>
      <c r="I31" s="31">
        <f ca="1">39.7*OFFSET(I$112,MATCH($N$1,$C$112:$C$113,0)-1,0)</f>
        <v>39.700000000000003</v>
      </c>
      <c r="J31" s="31">
        <f ca="1">42.1*OFFSET(J$112,MATCH($N$1,$C$112:$C$113,0)-1,0)</f>
        <v>42.1</v>
      </c>
      <c r="K31" s="31">
        <f ca="1">54.3*OFFSET(K$112,MATCH($N$1,$C$112:$C$113,0)-1,0)</f>
        <v>54.3</v>
      </c>
      <c r="L31" s="31">
        <f ca="1">47.2*OFFSET(L$112,MATCH($N$1,$C$112:$C$113,0)-1,0)</f>
        <v>47.2</v>
      </c>
      <c r="M31" s="31">
        <f ca="1">51.4*OFFSET(M$112,MATCH($N$1,$C$112:$C$113,0)-1,0)</f>
        <v>51.4</v>
      </c>
      <c r="N31" s="31">
        <v>37</v>
      </c>
      <c r="O31" s="28">
        <f t="shared" ca="1" si="0"/>
        <v>7.558139534883726E-2</v>
      </c>
      <c r="P31" s="28">
        <f t="shared" ca="1" si="1"/>
        <v>-0.12114014251781476</v>
      </c>
    </row>
    <row r="32" spans="1:16" ht="18" customHeight="1">
      <c r="A32" s="178"/>
      <c r="B32" s="35" t="s">
        <v>207</v>
      </c>
      <c r="C32" s="31"/>
      <c r="D32" s="31">
        <f ca="1">29.1*OFFSET(D$112,MATCH($N$1,$C$112:$C$113,0)-1,0)</f>
        <v>29.1</v>
      </c>
      <c r="E32" s="31">
        <f ca="1">42.3*OFFSET(E$112,MATCH($N$1,$C$112:$C$113,0)-1,0)</f>
        <v>42.3</v>
      </c>
      <c r="F32" s="31">
        <f ca="1">19.7*OFFSET(F$112,MATCH($N$1,$C$112:$C$113,0)-1,0)</f>
        <v>19.7</v>
      </c>
      <c r="G32" s="31">
        <f ca="1">20.8*OFFSET(G$112,MATCH($N$1,$C$112:$C$113,0)-1,0)</f>
        <v>20.8</v>
      </c>
      <c r="H32" s="31">
        <f ca="1">19.4*OFFSET(H$112,MATCH($N$1,$C$112:$C$113,0)-1,0)</f>
        <v>19.399999999999999</v>
      </c>
      <c r="I32" s="31">
        <f ca="1">25.3*OFFSET(I$112,MATCH($N$1,$C$112:$C$113,0)-1,0)</f>
        <v>25.3</v>
      </c>
      <c r="J32" s="31">
        <f ca="1">34*OFFSET(J$112,MATCH($N$1,$C$112:$C$113,0)-1,0)</f>
        <v>34</v>
      </c>
      <c r="K32" s="31">
        <f ca="1">21*OFFSET(K$112,MATCH($N$1,$C$112:$C$113,0)-1,0)</f>
        <v>21</v>
      </c>
      <c r="L32" s="31">
        <f ca="1">23.5*OFFSET(L$112,MATCH($N$1,$C$112:$C$113,0)-1,0)</f>
        <v>23.5</v>
      </c>
      <c r="M32" s="31">
        <f ca="1">22.8*OFFSET(M$112,MATCH($N$1,$C$112:$C$113,0)-1,0)</f>
        <v>22.8</v>
      </c>
      <c r="N32" s="31">
        <v>16.3</v>
      </c>
      <c r="O32" s="28">
        <f t="shared" ca="1" si="0"/>
        <v>-0.43986254295532645</v>
      </c>
      <c r="P32" s="28">
        <f t="shared" ca="1" si="1"/>
        <v>-0.52058823529411757</v>
      </c>
    </row>
    <row r="33" spans="1:16" ht="18" customHeight="1">
      <c r="A33" s="178"/>
      <c r="B33" s="35" t="s">
        <v>208</v>
      </c>
      <c r="C33" s="31"/>
      <c r="D33" s="31">
        <f ca="1">75.8*OFFSET(D$112,MATCH($N$1,$C$112:$C$113,0)-1,0)</f>
        <v>75.8</v>
      </c>
      <c r="E33" s="31">
        <f ca="1">89.4*OFFSET(E$112,MATCH($N$1,$C$112:$C$113,0)-1,0)</f>
        <v>89.4</v>
      </c>
      <c r="F33" s="31">
        <f ca="1">64.8*OFFSET(F$112,MATCH($N$1,$C$112:$C$113,0)-1,0)</f>
        <v>64.8</v>
      </c>
      <c r="G33" s="31">
        <f ca="1">72.2*OFFSET(G$112,MATCH($N$1,$C$112:$C$113,0)-1,0)</f>
        <v>72.2</v>
      </c>
      <c r="H33" s="31">
        <f ca="1">73.1*OFFSET(H$112,MATCH($N$1,$C$112:$C$113,0)-1,0)</f>
        <v>73.099999999999994</v>
      </c>
      <c r="I33" s="31">
        <f ca="1">74.7*OFFSET(I$112,MATCH($N$1,$C$112:$C$113,0)-1,0)</f>
        <v>74.7</v>
      </c>
      <c r="J33" s="31">
        <f ca="1">85.3*OFFSET(J$112,MATCH($N$1,$C$112:$C$113,0)-1,0)</f>
        <v>85.3</v>
      </c>
      <c r="K33" s="31">
        <f ca="1">85.7*OFFSET(K$112,MATCH($N$1,$C$112:$C$113,0)-1,0)</f>
        <v>85.7</v>
      </c>
      <c r="L33" s="31">
        <f ca="1">82.9*OFFSET(L$112,MATCH($N$1,$C$112:$C$113,0)-1,0)</f>
        <v>82.9</v>
      </c>
      <c r="M33" s="31">
        <f ca="1">86.9*OFFSET(M$112,MATCH($N$1,$C$112:$C$113,0)-1,0)</f>
        <v>86.9</v>
      </c>
      <c r="N33" s="31">
        <v>61.300000000000004</v>
      </c>
      <c r="O33" s="28">
        <f t="shared" ca="1" si="0"/>
        <v>-0.19129287598944583</v>
      </c>
      <c r="P33" s="28">
        <f t="shared" ca="1" si="1"/>
        <v>-0.28135990621336454</v>
      </c>
    </row>
    <row r="34" spans="1:16" ht="18" customHeight="1">
      <c r="A34" s="178"/>
      <c r="B34" s="35" t="s">
        <v>209</v>
      </c>
      <c r="C34" s="31"/>
      <c r="D34" s="31">
        <f ca="1">24.1*OFFSET(D$112,MATCH($N$1,$C$112:$C$113,0)-1,0)</f>
        <v>24.1</v>
      </c>
      <c r="E34" s="31">
        <f ca="1">17.6*OFFSET(E$112,MATCH($N$1,$C$112:$C$113,0)-1,0)</f>
        <v>17.600000000000001</v>
      </c>
      <c r="F34" s="31">
        <f ca="1">19.6*OFFSET(F$112,MATCH($N$1,$C$112:$C$113,0)-1,0)</f>
        <v>19.600000000000001</v>
      </c>
      <c r="G34" s="31">
        <f ca="1">24.8*OFFSET(G$112,MATCH($N$1,$C$112:$C$113,0)-1,0)</f>
        <v>24.8</v>
      </c>
      <c r="H34" s="31">
        <f ca="1">24.1*OFFSET(H$112,MATCH($N$1,$C$112:$C$113,0)-1,0)</f>
        <v>24.1</v>
      </c>
      <c r="I34" s="31">
        <f ca="1">21.7*OFFSET(I$112,MATCH($N$1,$C$112:$C$113,0)-1,0)</f>
        <v>21.7</v>
      </c>
      <c r="J34" s="31">
        <f ca="1">25.3*OFFSET(J$112,MATCH($N$1,$C$112:$C$113,0)-1,0)</f>
        <v>25.3</v>
      </c>
      <c r="K34" s="31">
        <f ca="1">34.3*OFFSET(K$112,MATCH($N$1,$C$112:$C$113,0)-1,0)</f>
        <v>34.299999999999997</v>
      </c>
      <c r="L34" s="31">
        <f ca="1">40.8*OFFSET(L$112,MATCH($N$1,$C$112:$C$113,0)-1,0)</f>
        <v>40.799999999999997</v>
      </c>
      <c r="M34" s="31">
        <f ca="1">38.1*OFFSET(M$112,MATCH($N$1,$C$112:$C$113,0)-1,0)</f>
        <v>38.1</v>
      </c>
      <c r="N34" s="31">
        <v>37.5</v>
      </c>
      <c r="O34" s="28">
        <f t="shared" ca="1" si="0"/>
        <v>0.55601659751037336</v>
      </c>
      <c r="P34" s="28">
        <f t="shared" ca="1" si="1"/>
        <v>0.4822134387351778</v>
      </c>
    </row>
    <row r="35" spans="1:16" ht="18" customHeight="1">
      <c r="A35" s="178"/>
      <c r="B35" s="35" t="s">
        <v>210</v>
      </c>
      <c r="C35" s="31"/>
      <c r="D35" s="31">
        <f ca="1">99.9*OFFSET(D$112,MATCH($N$1,$C$112:$C$113,0)-1,0)</f>
        <v>99.9</v>
      </c>
      <c r="E35" s="31">
        <f ca="1">106.9*OFFSET(E$112,MATCH($N$1,$C$112:$C$113,0)-1,0)</f>
        <v>106.9</v>
      </c>
      <c r="F35" s="31">
        <f ca="1">84.5*OFFSET(F$112,MATCH($N$1,$C$112:$C$113,0)-1,0)</f>
        <v>84.5</v>
      </c>
      <c r="G35" s="31">
        <f ca="1">97*OFFSET(G$112,MATCH($N$1,$C$112:$C$113,0)-1,0)</f>
        <v>97</v>
      </c>
      <c r="H35" s="31">
        <f ca="1">97.2*OFFSET(H$112,MATCH($N$1,$C$112:$C$113,0)-1,0)</f>
        <v>97.2</v>
      </c>
      <c r="I35" s="31">
        <f ca="1">96.4*OFFSET(I$112,MATCH($N$1,$C$112:$C$113,0)-1,0)</f>
        <v>96.4</v>
      </c>
      <c r="J35" s="31">
        <f ca="1">110.5*OFFSET(J$112,MATCH($N$1,$C$112:$C$113,0)-1,0)</f>
        <v>110.5</v>
      </c>
      <c r="K35" s="31">
        <f ca="1">120*OFFSET(K$112,MATCH($N$1,$C$112:$C$113,0)-1,0)</f>
        <v>120</v>
      </c>
      <c r="L35" s="31">
        <f ca="1">123.7*OFFSET(L$112,MATCH($N$1,$C$112:$C$113,0)-1,0)</f>
        <v>123.7</v>
      </c>
      <c r="M35" s="31">
        <f ca="1">125*OFFSET(M$112,MATCH($N$1,$C$112:$C$113,0)-1,0)</f>
        <v>125</v>
      </c>
      <c r="N35" s="31">
        <v>98.7</v>
      </c>
      <c r="O35" s="28">
        <f t="shared" ca="1" si="0"/>
        <v>-1.201201201201204E-2</v>
      </c>
      <c r="P35" s="28">
        <f t="shared" ca="1" si="1"/>
        <v>-0.10678733031674205</v>
      </c>
    </row>
    <row r="36" spans="1:16" ht="18" customHeight="1">
      <c r="A36" s="178"/>
      <c r="B36" s="40" t="s">
        <v>211</v>
      </c>
      <c r="C36" s="41"/>
      <c r="D36" s="41">
        <f ca="1">64.1*OFFSET(D$112,MATCH($N$1,$C$112:$C$113,0)-1,0)</f>
        <v>64.099999999999994</v>
      </c>
      <c r="E36" s="41">
        <f ca="1">49.5*OFFSET(E$112,MATCH($N$1,$C$112:$C$113,0)-1,0)</f>
        <v>49.5</v>
      </c>
      <c r="F36" s="41">
        <f ca="1">70.6*OFFSET(F$112,MATCH($N$1,$C$112:$C$113,0)-1,0)</f>
        <v>70.599999999999994</v>
      </c>
      <c r="G36" s="41">
        <f ca="1">64.5*OFFSET(G$112,MATCH($N$1,$C$112:$C$113,0)-1,0)</f>
        <v>64.5</v>
      </c>
      <c r="H36" s="41">
        <f ca="1">78.6*OFFSET(H$112,MATCH($N$1,$C$112:$C$113,0)-1,0)</f>
        <v>78.599999999999994</v>
      </c>
      <c r="I36" s="41">
        <f ca="1">89.5*OFFSET(I$112,MATCH($N$1,$C$112:$C$113,0)-1,0)</f>
        <v>89.5</v>
      </c>
      <c r="J36" s="41">
        <f ca="1">96.2*OFFSET(J$112,MATCH($N$1,$C$112:$C$113,0)-1,0)</f>
        <v>96.2</v>
      </c>
      <c r="K36" s="41">
        <f ca="1">119*OFFSET(K$112,MATCH($N$1,$C$112:$C$113,0)-1,0)</f>
        <v>119</v>
      </c>
      <c r="L36" s="41">
        <f ca="1">116.4*OFFSET(L$112,MATCH($N$1,$C$112:$C$113,0)-1,0)</f>
        <v>116.4</v>
      </c>
      <c r="M36" s="41">
        <f ca="1">119.4*OFFSET(M$112,MATCH($N$1,$C$112:$C$113,0)-1,0)</f>
        <v>119.4</v>
      </c>
      <c r="N36" s="41">
        <v>85.4</v>
      </c>
      <c r="O36" s="28">
        <f t="shared" ca="1" si="0"/>
        <v>0.33229329173166949</v>
      </c>
      <c r="P36" s="28">
        <f t="shared" ca="1" si="1"/>
        <v>-0.11226611226611223</v>
      </c>
    </row>
    <row r="37" spans="1:16" ht="18" customHeight="1">
      <c r="A37" s="178"/>
      <c r="B37" s="40" t="s">
        <v>212</v>
      </c>
      <c r="C37" s="41"/>
      <c r="D37" s="41">
        <f ca="1">29.7*OFFSET(D$112,MATCH($N$1,$C$112:$C$113,0)-1,0)</f>
        <v>29.7</v>
      </c>
      <c r="E37" s="41">
        <f ca="1">16.8*OFFSET(E$112,MATCH($N$1,$C$112:$C$113,0)-1,0)</f>
        <v>16.8</v>
      </c>
      <c r="F37" s="41">
        <f ca="1">40.3*OFFSET(F$112,MATCH($N$1,$C$112:$C$113,0)-1,0)</f>
        <v>40.299999999999997</v>
      </c>
      <c r="G37" s="41">
        <f ca="1">27.3*OFFSET(G$112,MATCH($N$1,$C$112:$C$113,0)-1,0)</f>
        <v>27.3</v>
      </c>
      <c r="H37" s="41">
        <f ca="1">38.4*OFFSET(H$112,MATCH($N$1,$C$112:$C$113,0)-1,0)</f>
        <v>38.4</v>
      </c>
      <c r="I37" s="41">
        <f ca="1">49.8*OFFSET(I$112,MATCH($N$1,$C$112:$C$113,0)-1,0)</f>
        <v>49.8</v>
      </c>
      <c r="J37" s="41">
        <f ca="1">54.1*OFFSET(J$112,MATCH($N$1,$C$112:$C$113,0)-1,0)</f>
        <v>54.1</v>
      </c>
      <c r="K37" s="41">
        <f ca="1">64.7*OFFSET(K$112,MATCH($N$1,$C$112:$C$113,0)-1,0)</f>
        <v>64.7</v>
      </c>
      <c r="L37" s="41">
        <f ca="1">69.2*OFFSET(L$112,MATCH($N$1,$C$112:$C$113,0)-1,0)</f>
        <v>69.2</v>
      </c>
      <c r="M37" s="41">
        <f ca="1">68*OFFSET(M$112,MATCH($N$1,$C$112:$C$113,0)-1,0)</f>
        <v>68</v>
      </c>
      <c r="N37" s="41">
        <v>48.4</v>
      </c>
      <c r="O37" s="28">
        <f t="shared" ca="1" si="0"/>
        <v>0.62962962962962965</v>
      </c>
      <c r="P37" s="28">
        <f t="shared" ca="1" si="1"/>
        <v>-0.10536044362292056</v>
      </c>
    </row>
    <row r="38" spans="1:16" ht="18" customHeight="1">
      <c r="A38" s="178"/>
      <c r="B38" s="35" t="s">
        <v>213</v>
      </c>
      <c r="C38" s="31"/>
      <c r="D38" s="31">
        <f ca="1">4.9*OFFSET(D$112,MATCH($N$1,$C$112:$C$113,0)-1,0)</f>
        <v>4.9000000000000004</v>
      </c>
      <c r="E38" s="31">
        <f ca="1">4.8*OFFSET(E$112,MATCH($N$1,$C$112:$C$113,0)-1,0)</f>
        <v>4.8</v>
      </c>
      <c r="F38" s="31">
        <f ca="1">6.4*OFFSET(F$112,MATCH($N$1,$C$112:$C$113,0)-1,0)</f>
        <v>6.4</v>
      </c>
      <c r="G38" s="31">
        <f ca="1">9.3*OFFSET(G$112,MATCH($N$1,$C$112:$C$113,0)-1,0)</f>
        <v>9.3000000000000007</v>
      </c>
      <c r="H38" s="31">
        <f ca="1">9.8*OFFSET(H$112,MATCH($N$1,$C$112:$C$113,0)-1,0)</f>
        <v>9.8000000000000007</v>
      </c>
      <c r="I38" s="31">
        <f ca="1">9.6*OFFSET(I$112,MATCH($N$1,$C$112:$C$113,0)-1,0)</f>
        <v>9.6</v>
      </c>
      <c r="J38" s="31">
        <f ca="1">9.5*OFFSET(J$112,MATCH($N$1,$C$112:$C$113,0)-1,0)</f>
        <v>9.5</v>
      </c>
      <c r="K38" s="31">
        <f ca="1">13.4*OFFSET(K$112,MATCH($N$1,$C$112:$C$113,0)-1,0)</f>
        <v>13.4</v>
      </c>
      <c r="L38" s="31">
        <f ca="1">11.8*OFFSET(L$112,MATCH($N$1,$C$112:$C$113,0)-1,0)</f>
        <v>11.8</v>
      </c>
      <c r="M38" s="31">
        <f ca="1">18.1*OFFSET(M$112,MATCH($N$1,$C$112:$C$113,0)-1,0)</f>
        <v>18.100000000000001</v>
      </c>
      <c r="N38" s="31"/>
      <c r="O38" s="28" t="str">
        <f t="shared" si="0"/>
        <v/>
      </c>
      <c r="P38" s="28" t="str">
        <f t="shared" si="1"/>
        <v/>
      </c>
    </row>
    <row r="39" spans="1:16" ht="18" customHeight="1">
      <c r="A39" s="178"/>
      <c r="B39" s="35" t="s">
        <v>214</v>
      </c>
      <c r="C39" s="31"/>
      <c r="D39" s="31">
        <f ca="1">1.1*OFFSET(D$112,MATCH($N$1,$C$112:$C$113,0)-1,0)</f>
        <v>1.1000000000000001</v>
      </c>
      <c r="E39" s="31">
        <f ca="1">1*OFFSET(E$112,MATCH($N$1,$C$112:$C$113,0)-1,0)</f>
        <v>1</v>
      </c>
      <c r="F39" s="31">
        <f ca="1">0.9*OFFSET(F$112,MATCH($N$1,$C$112:$C$113,0)-1,0)</f>
        <v>0.9</v>
      </c>
      <c r="G39" s="31">
        <f ca="1">1.1*OFFSET(G$112,MATCH($N$1,$C$112:$C$113,0)-1,0)</f>
        <v>1.1000000000000001</v>
      </c>
      <c r="H39" s="31">
        <f ca="1">0.5*OFFSET(H$112,MATCH($N$1,$C$112:$C$113,0)-1,0)</f>
        <v>0.5</v>
      </c>
      <c r="I39" s="31">
        <f ca="1">0.8*OFFSET(I$112,MATCH($N$1,$C$112:$C$113,0)-1,0)</f>
        <v>0.8</v>
      </c>
      <c r="J39" s="31">
        <f ca="1">1.6*OFFSET(J$112,MATCH($N$1,$C$112:$C$113,0)-1,0)</f>
        <v>1.6</v>
      </c>
      <c r="K39" s="31">
        <f ca="1">2*OFFSET(K$112,MATCH($N$1,$C$112:$C$113,0)-1,0)</f>
        <v>2</v>
      </c>
      <c r="L39" s="31">
        <f ca="1">2.3*OFFSET(L$112,MATCH($N$1,$C$112:$C$113,0)-1,0)</f>
        <v>2.2999999999999998</v>
      </c>
      <c r="M39" s="31">
        <f ca="1">2.3*OFFSET(M$112,MATCH($N$1,$C$112:$C$113,0)-1,0)</f>
        <v>2.2999999999999998</v>
      </c>
      <c r="N39" s="31"/>
      <c r="O39" s="28" t="str">
        <f t="shared" si="0"/>
        <v/>
      </c>
      <c r="P39" s="28" t="str">
        <f t="shared" si="1"/>
        <v/>
      </c>
    </row>
    <row r="40" spans="1:16" ht="18" customHeight="1">
      <c r="A40" s="178"/>
      <c r="B40" s="35" t="s">
        <v>215</v>
      </c>
      <c r="C40" s="31"/>
      <c r="D40" s="31">
        <f ca="1">0.1*OFFSET(D$112,MATCH($N$1,$C$112:$C$113,0)-1,0)</f>
        <v>0.1</v>
      </c>
      <c r="E40" s="31">
        <f ca="1">0.4*OFFSET(E$112,MATCH($N$1,$C$112:$C$113,0)-1,0)</f>
        <v>0.4</v>
      </c>
      <c r="F40" s="31">
        <f ca="1">0.4*OFFSET(F$112,MATCH($N$1,$C$112:$C$113,0)-1,0)</f>
        <v>0.4</v>
      </c>
      <c r="G40" s="31">
        <f ca="1">0.4*OFFSET(G$112,MATCH($N$1,$C$112:$C$113,0)-1,0)</f>
        <v>0.4</v>
      </c>
      <c r="H40" s="31">
        <f ca="1">0.8*OFFSET(H$112,MATCH($N$1,$C$112:$C$113,0)-1,0)</f>
        <v>0.8</v>
      </c>
      <c r="I40" s="31">
        <f ca="1">0.6*OFFSET(I$112,MATCH($N$1,$C$112:$C$113,0)-1,0)</f>
        <v>0.6</v>
      </c>
      <c r="J40" s="31">
        <f ca="1">1.1*OFFSET(J$112,MATCH($N$1,$C$112:$C$113,0)-1,0)</f>
        <v>1.1000000000000001</v>
      </c>
      <c r="K40" s="31">
        <f ca="1">1.9*OFFSET(K$112,MATCH($N$1,$C$112:$C$113,0)-1,0)</f>
        <v>1.9</v>
      </c>
      <c r="L40" s="31">
        <f ca="1">3*OFFSET(L$112,MATCH($N$1,$C$112:$C$113,0)-1,0)</f>
        <v>3</v>
      </c>
      <c r="M40" s="31">
        <f ca="1">1.4*OFFSET(M$112,MATCH($N$1,$C$112:$C$113,0)-1,0)</f>
        <v>1.4</v>
      </c>
      <c r="N40" s="31"/>
      <c r="O40" s="28" t="str">
        <f t="shared" si="0"/>
        <v/>
      </c>
      <c r="P40" s="28" t="str">
        <f t="shared" si="1"/>
        <v/>
      </c>
    </row>
    <row r="41" spans="1:16" ht="18" customHeight="1" thickBot="1">
      <c r="A41" s="179"/>
      <c r="B41" s="42" t="s">
        <v>216</v>
      </c>
      <c r="C41" s="43"/>
      <c r="D41" s="43">
        <f ca="1">23.6*OFFSET(D$112,MATCH($N$1,$C$112:$C$113,0)-1,0)</f>
        <v>23.6</v>
      </c>
      <c r="E41" s="43">
        <f ca="1">10.5*OFFSET(E$112,MATCH($N$1,$C$112:$C$113,0)-1,0)</f>
        <v>10.5</v>
      </c>
      <c r="F41" s="43">
        <f ca="1">32.6*OFFSET(F$112,MATCH($N$1,$C$112:$C$113,0)-1,0)</f>
        <v>32.6</v>
      </c>
      <c r="G41" s="43">
        <f ca="1">16.5*OFFSET(G$112,MATCH($N$1,$C$112:$C$113,0)-1,0)</f>
        <v>16.5</v>
      </c>
      <c r="H41" s="43">
        <f ca="1">27.3*OFFSET(H$112,MATCH($N$1,$C$112:$C$113,0)-1,0)</f>
        <v>27.3</v>
      </c>
      <c r="I41" s="43">
        <f ca="1">38.8*OFFSET(I$112,MATCH($N$1,$C$112:$C$113,0)-1,0)</f>
        <v>38.799999999999997</v>
      </c>
      <c r="J41" s="43">
        <f ca="1">41.9*OFFSET(J$112,MATCH($N$1,$C$112:$C$113,0)-1,0)</f>
        <v>41.9</v>
      </c>
      <c r="K41" s="43">
        <f ca="1">47.4*OFFSET(K$112,MATCH($N$1,$C$112:$C$113,0)-1,0)</f>
        <v>47.4</v>
      </c>
      <c r="L41" s="43">
        <f ca="1">52.2*OFFSET(L$112,MATCH($N$1,$C$112:$C$113,0)-1,0)</f>
        <v>52.2</v>
      </c>
      <c r="M41" s="43">
        <f ca="1">46.1*OFFSET(M$112,MATCH($N$1,$C$112:$C$113,0)-1,0)</f>
        <v>46.1</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163</v>
      </c>
      <c r="F46" s="90" t="s">
        <v>159</v>
      </c>
      <c r="G46" s="90" t="s">
        <v>159</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Pots and traps 10-12m</v>
      </c>
      <c r="B48" s="202"/>
      <c r="C48" s="92"/>
      <c r="D48" s="92"/>
      <c r="E48" s="92"/>
      <c r="F48" s="92"/>
      <c r="G48" s="92"/>
      <c r="H48" s="202"/>
      <c r="I48" s="202"/>
      <c r="J48" s="202"/>
      <c r="K48" s="92" t="str">
        <f>$B24&amp;CHAR(10)&amp;$A$1</f>
        <v>Operating profit per kW day at sea (£)
Pots and traps 10-12m</v>
      </c>
      <c r="L48" s="202"/>
      <c r="M48" s="202"/>
      <c r="N48" s="202"/>
      <c r="O48" s="202"/>
      <c r="P48" s="202"/>
    </row>
    <row r="49" spans="1:11" s="80" customFormat="1">
      <c r="A49" s="92" t="str">
        <f>$B22&amp;CHAR(10)&amp;$A$1</f>
        <v>Fishing income per kW day at sea (£)
Pots and traps 10-12m</v>
      </c>
      <c r="B49" s="202"/>
      <c r="C49" s="202"/>
      <c r="D49" s="202"/>
      <c r="E49" s="202"/>
      <c r="F49" s="202"/>
      <c r="G49" s="202"/>
      <c r="H49" s="202"/>
      <c r="I49" s="202"/>
      <c r="J49" s="202"/>
      <c r="K49" s="202"/>
    </row>
    <row r="50" spans="1:11" s="80" customFormat="1">
      <c r="A50" s="92" t="str">
        <f>$B20&amp;CHAR(10)&amp;$A$1</f>
        <v>Average price per tonne landed (£)
Pots and traps 10-12m</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Pots and traps 10-12m</v>
      </c>
      <c r="C62" s="202"/>
      <c r="D62" s="202"/>
      <c r="E62" s="202"/>
      <c r="F62" s="92" t="str">
        <f>$B20&amp;CHAR(10)&amp;$A$1</f>
        <v>Average price per tonne landed (£)
Pots and traps 10-12m</v>
      </c>
      <c r="G62" s="202"/>
      <c r="H62" s="202"/>
      <c r="I62" s="202"/>
      <c r="J62" s="202"/>
      <c r="K62" s="92" t="str">
        <f>"Average annual operating profit per vessel (£'000)"&amp;CHAR(10)&amp;$A$1</f>
        <v>Average annual operating profit per vessel (£'000)
Pots and traps 10-12m</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Pots and traps 10-12m</v>
      </c>
      <c r="F76" s="92" t="str">
        <f>"Top 5 landed species by value in "&amp;A77&amp;CHAR(10)&amp;A1</f>
        <v>Top 5 landed species by value in 2019
Pots and traps 10-12m</v>
      </c>
    </row>
    <row r="77" spans="1:11" s="92" customFormat="1">
      <c r="A77" s="92">
        <v>2019</v>
      </c>
      <c r="B77" s="92" t="s">
        <v>498</v>
      </c>
      <c r="C77" s="93">
        <v>0.48408686243158772</v>
      </c>
      <c r="D77" s="94">
        <v>12153634</v>
      </c>
      <c r="G77" s="92" t="s">
        <v>499</v>
      </c>
      <c r="H77" s="93">
        <v>0.35685179938292405</v>
      </c>
      <c r="I77" s="94">
        <v>12153634</v>
      </c>
      <c r="K77" s="92" t="s">
        <v>230</v>
      </c>
    </row>
    <row r="78" spans="1:11" s="92" customFormat="1">
      <c r="B78" s="92" t="s">
        <v>500</v>
      </c>
      <c r="C78" s="93">
        <v>0.31367839356188137</v>
      </c>
      <c r="D78" s="94">
        <v>1692097</v>
      </c>
      <c r="G78" s="92" t="s">
        <v>501</v>
      </c>
      <c r="H78" s="93">
        <v>0.27487875230571979</v>
      </c>
      <c r="I78" s="94">
        <v>553960</v>
      </c>
    </row>
    <row r="79" spans="1:11" s="92" customFormat="1">
      <c r="B79" s="92" t="s">
        <v>502</v>
      </c>
      <c r="C79" s="93">
        <v>6.2923914461131214E-2</v>
      </c>
      <c r="D79" s="94">
        <v>553960</v>
      </c>
      <c r="G79" s="92" t="s">
        <v>503</v>
      </c>
      <c r="H79" s="93">
        <v>0.17454297323087703</v>
      </c>
      <c r="I79" s="94">
        <v>3050596</v>
      </c>
    </row>
    <row r="80" spans="1:11" s="92" customFormat="1">
      <c r="B80" s="92" t="s">
        <v>504</v>
      </c>
      <c r="C80" s="93">
        <v>4.7973466551056193E-2</v>
      </c>
      <c r="D80" s="94">
        <v>3050596</v>
      </c>
      <c r="G80" s="92" t="s">
        <v>505</v>
      </c>
      <c r="H80" s="93">
        <v>0.12903209317472189</v>
      </c>
      <c r="I80" s="94">
        <v>1692097</v>
      </c>
    </row>
    <row r="81" spans="1:19" s="92" customFormat="1">
      <c r="B81" s="92" t="s">
        <v>506</v>
      </c>
      <c r="C81" s="93">
        <v>3.044858936705681E-2</v>
      </c>
      <c r="D81" s="94">
        <v>11115023</v>
      </c>
      <c r="G81" s="92" t="s">
        <v>507</v>
      </c>
      <c r="H81" s="93">
        <v>2.1120095889275312E-2</v>
      </c>
      <c r="I81" s="94">
        <v>3689192</v>
      </c>
    </row>
    <row r="82" spans="1:19" s="92" customFormat="1">
      <c r="B82" s="92" t="s">
        <v>508</v>
      </c>
      <c r="C82" s="93">
        <v>6.0888773627286619E-2</v>
      </c>
      <c r="D82" s="94">
        <v>5920853</v>
      </c>
      <c r="G82" s="92" t="s">
        <v>509</v>
      </c>
      <c r="H82" s="93">
        <v>4.3574286016482056E-2</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170</v>
      </c>
      <c r="D92" s="98">
        <v>0.27292553811358239</v>
      </c>
      <c r="E92" s="98">
        <v>0.30345682435653804</v>
      </c>
      <c r="F92" s="98">
        <v>0.27963510888633242</v>
      </c>
      <c r="G92" s="98">
        <v>0.29534193075888704</v>
      </c>
      <c r="H92" s="98">
        <v>0.2392915715756935</v>
      </c>
      <c r="I92" s="98">
        <v>0.26074197936443627</v>
      </c>
      <c r="J92" s="98">
        <v>0.28664376251781215</v>
      </c>
      <c r="K92" s="98">
        <v>0.35610866888787479</v>
      </c>
      <c r="L92" s="98">
        <v>0.35685179938292405</v>
      </c>
      <c r="M92" s="98">
        <v>0.24778530262189857</v>
      </c>
      <c r="O92" s="92">
        <v>12153634</v>
      </c>
    </row>
    <row r="93" spans="1:19" s="92" customFormat="1" hidden="1">
      <c r="B93" s="92">
        <v>2</v>
      </c>
      <c r="C93" s="92" t="s">
        <v>167</v>
      </c>
      <c r="D93" s="98">
        <v>0.2870281396380947</v>
      </c>
      <c r="E93" s="98">
        <v>0.28905276002618618</v>
      </c>
      <c r="F93" s="98">
        <v>0.29055980856990427</v>
      </c>
      <c r="G93" s="98">
        <v>0.2786689503545382</v>
      </c>
      <c r="H93" s="98">
        <v>0.28195074395456021</v>
      </c>
      <c r="I93" s="98">
        <v>0.27612524046021036</v>
      </c>
      <c r="J93" s="98">
        <v>0.28881057966249024</v>
      </c>
      <c r="K93" s="98">
        <v>0.27653088037495915</v>
      </c>
      <c r="L93" s="98">
        <v>0.27487875230571979</v>
      </c>
      <c r="M93" s="98">
        <v>0.30997770751611819</v>
      </c>
      <c r="O93" s="92">
        <v>553960</v>
      </c>
    </row>
    <row r="94" spans="1:19" s="92" customFormat="1" hidden="1">
      <c r="B94" s="92">
        <v>3</v>
      </c>
      <c r="C94" s="92" t="s">
        <v>160</v>
      </c>
      <c r="D94" s="98">
        <v>0.23185874102462212</v>
      </c>
      <c r="E94" s="98">
        <v>0.21573275756796764</v>
      </c>
      <c r="F94" s="98">
        <v>0.22001879956252138</v>
      </c>
      <c r="G94" s="98">
        <v>0.20124406961519797</v>
      </c>
      <c r="H94" s="98">
        <v>0.22509449096632383</v>
      </c>
      <c r="I94" s="98">
        <v>0.18852501413519521</v>
      </c>
      <c r="J94" s="98">
        <v>0.17690576274987524</v>
      </c>
      <c r="K94" s="98">
        <v>0.15963989594755146</v>
      </c>
      <c r="L94" s="98">
        <v>0.17454297323087703</v>
      </c>
      <c r="M94" s="98">
        <v>0.17745787377444538</v>
      </c>
      <c r="O94" s="92">
        <v>3050596</v>
      </c>
    </row>
    <row r="95" spans="1:19" s="92" customFormat="1" hidden="1">
      <c r="B95" s="92">
        <v>4</v>
      </c>
      <c r="C95" s="92" t="s">
        <v>378</v>
      </c>
      <c r="D95" s="98">
        <v>9.7897487811884079E-2</v>
      </c>
      <c r="E95" s="98">
        <v>0.10513912221833092</v>
      </c>
      <c r="F95" s="98">
        <v>0.12550659003101039</v>
      </c>
      <c r="G95" s="98">
        <v>0.14715178025286124</v>
      </c>
      <c r="H95" s="98">
        <v>0.18638991569836347</v>
      </c>
      <c r="I95" s="98">
        <v>0.21150720237268913</v>
      </c>
      <c r="J95" s="98">
        <v>0.1886334457914583</v>
      </c>
      <c r="K95" s="98">
        <v>0.15683679034065331</v>
      </c>
      <c r="L95" s="98">
        <v>0.12903209317472189</v>
      </c>
      <c r="M95" s="98">
        <v>0.19355120681283339</v>
      </c>
      <c r="O95" s="92">
        <v>1692097</v>
      </c>
    </row>
    <row r="96" spans="1:19" s="92" customFormat="1" hidden="1">
      <c r="B96" s="92">
        <v>5</v>
      </c>
      <c r="C96" s="92" t="s">
        <v>379</v>
      </c>
      <c r="D96" s="98">
        <v>6.6614021214740596E-2</v>
      </c>
      <c r="E96" s="98">
        <v>4.172902261504241E-2</v>
      </c>
      <c r="F96" s="98">
        <v>4.2673539086851703E-2</v>
      </c>
      <c r="G96" s="98">
        <v>4.241261186742562E-2</v>
      </c>
      <c r="H96" s="98">
        <v>3.9869304856334088E-2</v>
      </c>
      <c r="I96" s="98">
        <v>2.9449429593776548E-2</v>
      </c>
      <c r="J96" s="98">
        <v>2.7005484016674696E-2</v>
      </c>
      <c r="K96" s="98">
        <v>1.7046427841617192E-2</v>
      </c>
      <c r="L96" s="98">
        <v>2.1120095889275312E-2</v>
      </c>
      <c r="M96" s="98">
        <v>2.5934110713336775E-2</v>
      </c>
      <c r="O96" s="92">
        <v>3689192</v>
      </c>
    </row>
    <row r="97" spans="1:15" s="92" customFormat="1" hidden="1">
      <c r="B97" s="92">
        <v>6</v>
      </c>
      <c r="C97" s="92" t="s">
        <v>245</v>
      </c>
      <c r="D97" s="98">
        <v>4.3676072197076088E-2</v>
      </c>
      <c r="E97" s="98">
        <v>4.4889513215934845E-2</v>
      </c>
      <c r="F97" s="98">
        <v>4.1606153863379867E-2</v>
      </c>
      <c r="G97" s="98">
        <v>3.5180657151089902E-2</v>
      </c>
      <c r="H97" s="98">
        <v>2.7403972948724899E-2</v>
      </c>
      <c r="I97" s="98">
        <v>3.3651134073692426E-2</v>
      </c>
      <c r="J97" s="98">
        <v>3.2000965261689371E-2</v>
      </c>
      <c r="K97" s="98">
        <v>3.3837336607344094E-2</v>
      </c>
      <c r="L97" s="98">
        <v>4.3574286016481917E-2</v>
      </c>
      <c r="M97" s="98">
        <v>4.5293798561367705E-2</v>
      </c>
      <c r="O97" s="92">
        <v>5920853</v>
      </c>
    </row>
    <row r="98" spans="1:15" s="92" customFormat="1" hidden="1">
      <c r="B98" s="92">
        <v>7</v>
      </c>
      <c r="D98" s="98"/>
      <c r="E98" s="98"/>
      <c r="F98" s="98"/>
      <c r="G98" s="98"/>
      <c r="H98" s="98"/>
      <c r="I98" s="98"/>
      <c r="J98" s="98"/>
      <c r="K98" s="98"/>
      <c r="L98" s="98"/>
      <c r="M98" s="98"/>
      <c r="O98" s="92">
        <v>2480382</v>
      </c>
    </row>
    <row r="99" spans="1:15" s="92" customFormat="1" hidden="1">
      <c r="B99" s="92">
        <v>8</v>
      </c>
      <c r="D99" s="98"/>
      <c r="E99" s="98"/>
      <c r="F99" s="98"/>
      <c r="G99" s="98"/>
      <c r="H99" s="98"/>
      <c r="I99" s="98"/>
      <c r="J99" s="98"/>
      <c r="K99" s="98"/>
      <c r="L99" s="98"/>
      <c r="M99" s="98"/>
      <c r="O99" s="92">
        <v>7434864</v>
      </c>
    </row>
    <row r="100" spans="1:15" s="92" customFormat="1" hidden="1">
      <c r="B100" s="92">
        <v>9</v>
      </c>
      <c r="D100" s="98"/>
      <c r="E100" s="98"/>
      <c r="F100" s="98"/>
      <c r="G100" s="98"/>
      <c r="H100" s="98"/>
      <c r="I100" s="98"/>
      <c r="J100" s="98"/>
      <c r="K100" s="98"/>
      <c r="L100" s="98"/>
      <c r="M100" s="98"/>
      <c r="O100" s="92">
        <v>8497745</v>
      </c>
    </row>
    <row r="101" spans="1:15" s="92" customFormat="1" hidden="1">
      <c r="B101" s="92">
        <v>10</v>
      </c>
      <c r="D101" s="98"/>
      <c r="E101" s="98"/>
      <c r="F101" s="98"/>
      <c r="G101" s="98"/>
      <c r="H101" s="98"/>
      <c r="I101" s="98"/>
      <c r="J101" s="98"/>
      <c r="K101" s="98"/>
      <c r="L101" s="98"/>
      <c r="M101" s="98"/>
      <c r="O101" s="92">
        <v>14393110</v>
      </c>
    </row>
    <row r="102" spans="1:15" s="92" customFormat="1" hidden="1">
      <c r="B102" s="92">
        <v>11</v>
      </c>
      <c r="D102" s="98"/>
      <c r="E102" s="98"/>
      <c r="F102" s="98"/>
      <c r="G102" s="98"/>
      <c r="H102" s="98"/>
      <c r="I102" s="98"/>
      <c r="J102" s="98"/>
      <c r="K102" s="98"/>
      <c r="L102" s="98"/>
      <c r="M102" s="98"/>
      <c r="O102" s="92">
        <v>2887140</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7</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45</v>
      </c>
      <c r="D120" s="54">
        <v>91</v>
      </c>
      <c r="E120" s="54">
        <v>45</v>
      </c>
      <c r="F120" s="55">
        <v>181</v>
      </c>
    </row>
    <row r="121" spans="1:15" ht="18" customHeight="1">
      <c r="A121" s="173" t="s">
        <v>191</v>
      </c>
      <c r="B121" s="33" t="s">
        <v>192</v>
      </c>
      <c r="C121" s="56">
        <v>11.163777351379395</v>
      </c>
      <c r="D121" s="56">
        <v>11.233186805641258</v>
      </c>
      <c r="E121" s="56">
        <v>11.159555435180664</v>
      </c>
      <c r="F121" s="57">
        <v>11.197624206542969</v>
      </c>
      <c r="G121" s="206"/>
      <c r="H121" s="206"/>
      <c r="I121" s="206"/>
      <c r="J121" s="206"/>
      <c r="K121" s="206"/>
      <c r="L121" s="206"/>
      <c r="M121" s="206"/>
      <c r="N121" s="206"/>
      <c r="O121" s="206"/>
    </row>
    <row r="122" spans="1:15" ht="18" customHeight="1">
      <c r="A122" s="174"/>
      <c r="B122" s="35" t="s">
        <v>184</v>
      </c>
      <c r="C122" s="58">
        <v>131.15554809570313</v>
      </c>
      <c r="D122" s="58">
        <v>145.35165120219136</v>
      </c>
      <c r="E122" s="58">
        <v>138.71110534667969</v>
      </c>
      <c r="F122" s="59">
        <v>140.1712646484375</v>
      </c>
      <c r="G122" s="206"/>
      <c r="H122" s="206"/>
      <c r="I122" s="206"/>
      <c r="J122" s="206"/>
      <c r="K122" s="206"/>
      <c r="L122" s="206"/>
      <c r="M122" s="206"/>
      <c r="N122" s="206"/>
      <c r="O122" s="206"/>
    </row>
    <row r="123" spans="1:15" ht="18" customHeight="1">
      <c r="A123" s="174"/>
      <c r="B123" s="35" t="s">
        <v>185</v>
      </c>
      <c r="C123" s="58">
        <v>13.333333015441895</v>
      </c>
      <c r="D123" s="58">
        <v>12.538461370782537</v>
      </c>
      <c r="E123" s="58">
        <v>11.488888740539551</v>
      </c>
      <c r="F123" s="59">
        <v>12.475137710571289</v>
      </c>
      <c r="G123" s="206"/>
      <c r="H123" s="206"/>
      <c r="I123" s="206"/>
      <c r="J123" s="206"/>
      <c r="K123" s="206"/>
      <c r="L123" s="206"/>
      <c r="M123" s="206"/>
      <c r="N123" s="206"/>
      <c r="O123" s="206"/>
    </row>
    <row r="124" spans="1:15" ht="18" customHeight="1">
      <c r="A124" s="174"/>
      <c r="B124" s="35" t="s">
        <v>186</v>
      </c>
      <c r="C124" s="58">
        <v>105.62511444091797</v>
      </c>
      <c r="D124" s="58">
        <v>112.3195793235695</v>
      </c>
      <c r="E124" s="58">
        <v>107.43842315673828</v>
      </c>
      <c r="F124" s="59">
        <v>109.44166564941406</v>
      </c>
      <c r="G124" s="206"/>
      <c r="H124" s="206"/>
      <c r="I124" s="206"/>
      <c r="J124" s="206"/>
      <c r="K124" s="206"/>
      <c r="L124" s="206"/>
      <c r="M124" s="206"/>
      <c r="N124" s="206"/>
      <c r="O124" s="206"/>
    </row>
    <row r="125" spans="1:15" ht="18" customHeight="1">
      <c r="A125" s="174"/>
      <c r="B125" s="35" t="s">
        <v>187</v>
      </c>
      <c r="C125" s="31">
        <v>86.453971862792969</v>
      </c>
      <c r="D125" s="31">
        <v>56.141172891134744</v>
      </c>
      <c r="E125" s="31">
        <v>24.643928527832031</v>
      </c>
      <c r="F125" s="60">
        <v>55.846698760986328</v>
      </c>
      <c r="G125" s="206"/>
      <c r="H125" s="206"/>
      <c r="I125" s="206"/>
      <c r="J125" s="206"/>
      <c r="K125" s="206"/>
      <c r="L125" s="206"/>
      <c r="M125" s="206"/>
      <c r="N125" s="206"/>
      <c r="O125" s="206"/>
    </row>
    <row r="126" spans="1:15" ht="18" customHeight="1">
      <c r="A126" s="174"/>
      <c r="B126" s="35" t="s">
        <v>193</v>
      </c>
      <c r="C126" s="31">
        <f ca="1">298.9028125*OFFSET($L$112,MATCH($N$1,$C$112:$C$113,0)-1,0)</f>
        <v>298.90281249999998</v>
      </c>
      <c r="D126" s="31">
        <f ca="1">184.872640281593*OFFSET($L$112,MATCH($N$1,$C$112:$C$113,0)-1,0)</f>
        <v>184.87264028159299</v>
      </c>
      <c r="E126" s="31">
        <f ca="1">85.811375*OFFSET($L$112,MATCH($N$1,$C$112:$C$113,0)-1,0)</f>
        <v>85.811374999999998</v>
      </c>
      <c r="F126" s="60">
        <f ca="1">188.5941875*OFFSET($L$112,MATCH($N$1,$C$112:$C$113,0)-1,0)</f>
        <v>188.5941875</v>
      </c>
      <c r="G126" s="206"/>
      <c r="H126" s="206"/>
      <c r="I126" s="206"/>
      <c r="J126" s="206"/>
      <c r="K126" s="206"/>
      <c r="L126" s="206"/>
      <c r="M126" s="206"/>
      <c r="N126" s="206"/>
      <c r="O126" s="206"/>
    </row>
    <row r="127" spans="1:15" ht="18" customHeight="1">
      <c r="A127" s="174"/>
      <c r="B127" s="35" t="s">
        <v>189</v>
      </c>
      <c r="C127" s="58">
        <v>142.31111145019531</v>
      </c>
      <c r="D127" s="58">
        <v>161.47252428662645</v>
      </c>
      <c r="E127" s="58">
        <v>160.33332824707031</v>
      </c>
      <c r="F127" s="59">
        <v>156.4254150390625</v>
      </c>
      <c r="G127" s="206"/>
      <c r="H127" s="206"/>
      <c r="I127" s="206"/>
      <c r="J127" s="206"/>
      <c r="K127" s="206"/>
      <c r="L127" s="206"/>
      <c r="M127" s="206"/>
      <c r="N127" s="206"/>
      <c r="O127" s="206"/>
    </row>
    <row r="128" spans="1:15" ht="18" customHeight="1">
      <c r="A128" s="174"/>
      <c r="B128" s="35" t="s">
        <v>194</v>
      </c>
      <c r="C128" s="58">
        <v>26.55555534362793</v>
      </c>
      <c r="D128" s="58">
        <v>26.439560481480189</v>
      </c>
      <c r="E128" s="58">
        <v>32.844444274902344</v>
      </c>
      <c r="F128" s="59">
        <v>28.060773849487305</v>
      </c>
      <c r="G128" s="206"/>
      <c r="H128" s="206"/>
      <c r="I128" s="206"/>
      <c r="J128" s="206"/>
      <c r="K128" s="206"/>
      <c r="L128" s="206"/>
      <c r="M128" s="206"/>
      <c r="N128" s="206"/>
      <c r="O128" s="206"/>
    </row>
    <row r="129" spans="1:15" ht="18" customHeight="1">
      <c r="A129" s="174"/>
      <c r="B129" s="35" t="s">
        <v>195</v>
      </c>
      <c r="C129" s="61">
        <v>0.60749977827072144</v>
      </c>
      <c r="D129" s="61">
        <v>0.34768251217451546</v>
      </c>
      <c r="E129" s="61">
        <v>0.15370434522628784</v>
      </c>
      <c r="F129" s="62">
        <v>0.35701805353164673</v>
      </c>
      <c r="G129" s="206"/>
      <c r="H129" s="206"/>
      <c r="I129" s="206"/>
      <c r="J129" s="206"/>
      <c r="K129" s="206"/>
      <c r="L129" s="206"/>
      <c r="M129" s="206"/>
      <c r="N129" s="206"/>
      <c r="O129" s="206"/>
    </row>
    <row r="130" spans="1:15" ht="18" customHeight="1">
      <c r="A130" s="175"/>
      <c r="B130" s="37" t="s">
        <v>196</v>
      </c>
      <c r="C130" s="38">
        <f ca="1">3457.36356652734*OFFSET($L$112,MATCH($N$1,$C$112:$C$113,0)-1,0)</f>
        <v>3457.36356652734</v>
      </c>
      <c r="D130" s="38">
        <f ca="1">3292.99568856686*OFFSET($L$112,MATCH($N$1,$C$112:$C$113,0)-1,0)</f>
        <v>3292.9956885668598</v>
      </c>
      <c r="E130" s="38">
        <f ca="1">3482.04933734845*OFFSET($L$112,MATCH($N$1,$C$112:$C$113,0)-1,0)</f>
        <v>3482.0493373484501</v>
      </c>
      <c r="F130" s="63">
        <f ca="1">3377*OFFSET($L$112,MATCH($N$1,$C$112:$C$113,0)-1,0)</f>
        <v>3377</v>
      </c>
      <c r="G130" s="206"/>
      <c r="H130" s="206"/>
      <c r="I130" s="206"/>
      <c r="J130" s="206"/>
      <c r="K130" s="206"/>
      <c r="L130" s="206"/>
      <c r="M130" s="206"/>
      <c r="N130" s="206"/>
      <c r="O130" s="206"/>
    </row>
    <row r="131" spans="1:15" ht="18" customHeight="1">
      <c r="A131" s="184" t="s">
        <v>197</v>
      </c>
      <c r="B131" s="33" t="s">
        <v>198</v>
      </c>
      <c r="C131" s="64">
        <v>4.0393809866007455</v>
      </c>
      <c r="D131" s="64">
        <v>2.2987836389082612</v>
      </c>
      <c r="E131" s="64">
        <v>1.0928118973602985</v>
      </c>
      <c r="F131" s="65">
        <v>2.4065377888311468</v>
      </c>
      <c r="G131" s="206"/>
      <c r="H131" s="206"/>
      <c r="I131" s="206"/>
      <c r="J131" s="206"/>
      <c r="K131" s="206"/>
      <c r="L131" s="206"/>
      <c r="M131" s="206"/>
      <c r="N131" s="206"/>
      <c r="O131" s="206"/>
    </row>
    <row r="132" spans="1:15" ht="18" customHeight="1">
      <c r="A132" s="185"/>
      <c r="B132" s="35" t="s">
        <v>199</v>
      </c>
      <c r="C132" s="61">
        <f ca="1">13.9656086543967*OFFSET($L$112,MATCH($N$1,$C$112:$C$113,0)-1,0)</f>
        <v>13.9656086543967</v>
      </c>
      <c r="D132" s="61">
        <f ca="1">7.56988461187294*OFFSET($L$112,MATCH($N$1,$C$112:$C$113,0)-1,0)</f>
        <v>7.5698846118729399</v>
      </c>
      <c r="E132" s="61">
        <f ca="1">3.80522494304993*OFFSET($L$112,MATCH($N$1,$C$112:$C$113,0)-1,0)</f>
        <v>3.8052249430499301</v>
      </c>
      <c r="F132" s="62">
        <f ca="1">8.12687319111002*OFFSET($L$112,MATCH($N$1,$C$112:$C$113,0)-1,0)</f>
        <v>8.12687319111002</v>
      </c>
      <c r="G132" s="206"/>
      <c r="H132" s="206"/>
      <c r="I132" s="206"/>
      <c r="J132" s="206"/>
      <c r="K132" s="206"/>
      <c r="L132" s="206"/>
      <c r="M132" s="206"/>
      <c r="N132" s="206"/>
      <c r="O132" s="206"/>
    </row>
    <row r="133" spans="1:15" ht="18" customHeight="1">
      <c r="A133" s="185"/>
      <c r="B133" s="35" t="s">
        <v>154</v>
      </c>
      <c r="C133" s="61">
        <f ca="1">8.47241349919722*OFFSET($L$112,MATCH($N$1,$C$112:$C$113,0)-1,0)</f>
        <v>8.47241349919722</v>
      </c>
      <c r="D133" s="61">
        <f ca="1">4.88522447776175*OFFSET($L$112,MATCH($N$1,$C$112:$C$113,0)-1,0)</f>
        <v>4.8852244777617502</v>
      </c>
      <c r="E133" s="61">
        <f ca="1">2.77594071337471*OFFSET($L$112,MATCH($N$1,$C$112:$C$113,0)-1,0)</f>
        <v>2.7759407133747098</v>
      </c>
      <c r="F133" s="62">
        <f ca="1">5.19815856388317*OFFSET($L$112,MATCH($N$1,$C$112:$C$113,0)-1,0)</f>
        <v>5.1981585638831698</v>
      </c>
      <c r="G133" s="206"/>
      <c r="H133" s="206"/>
      <c r="I133" s="206"/>
      <c r="J133" s="206"/>
      <c r="K133" s="206"/>
      <c r="L133" s="206"/>
      <c r="M133" s="206"/>
      <c r="N133" s="206"/>
      <c r="O133" s="206"/>
    </row>
    <row r="134" spans="1:15" ht="18" customHeight="1">
      <c r="A134" s="186"/>
      <c r="B134" s="37" t="s">
        <v>155</v>
      </c>
      <c r="C134" s="66">
        <f ca="1">5.49319515519945*OFFSET($L$112,MATCH($N$1,$C$112:$C$113,0)-1,0)</f>
        <v>5.4931951551994498</v>
      </c>
      <c r="D134" s="66">
        <f ca="1">2.6846601341112*OFFSET($L$112,MATCH($N$1,$C$112:$C$113,0)-1,0)</f>
        <v>2.6846601341112</v>
      </c>
      <c r="E134" s="66">
        <f ca="1">1.02928422967522*OFFSET($L$112,MATCH($N$1,$C$112:$C$113,0)-1,0)</f>
        <v>1.02928422967522</v>
      </c>
      <c r="F134" s="67">
        <f ca="1">2.92871462722685*OFFSET($L$112,MATCH($N$1,$C$112:$C$113,0)-1,0)</f>
        <v>2.9287146272268498</v>
      </c>
      <c r="G134" s="206"/>
      <c r="H134" s="206"/>
      <c r="I134" s="206"/>
      <c r="J134" s="206"/>
      <c r="K134" s="206"/>
      <c r="L134" s="206"/>
      <c r="M134" s="206"/>
      <c r="N134" s="206"/>
      <c r="O134" s="206"/>
    </row>
    <row r="135" spans="1:15" ht="18" customHeight="1">
      <c r="A135" s="187" t="s">
        <v>254</v>
      </c>
      <c r="B135" s="35" t="s">
        <v>255</v>
      </c>
      <c r="C135" s="68">
        <f ca="1">10.1981279296875*OFFSET($L$112,MATCH($N$1,$C$112:$C$113,0)-1,0)</f>
        <v>10.1981279296875</v>
      </c>
      <c r="D135" s="68">
        <f ca="1">13.4597915629293*OFFSET($L$112,MATCH($N$1,$C$112:$C$113,0)-1,0)</f>
        <v>13.459791562929301</v>
      </c>
      <c r="E135" s="68">
        <f ca="1">13.469255859375*OFFSET($L$112,MATCH($N$1,$C$112:$C$113,0)-1,0)</f>
        <v>13.469255859375</v>
      </c>
      <c r="F135" s="69">
        <f ca="1">12.6512333984375*OFFSET($L$112,MATCH($N$1,$C$112:$C$113,0)-1,0)</f>
        <v>12.651233398437499</v>
      </c>
      <c r="G135" s="206"/>
      <c r="H135" s="206"/>
      <c r="I135" s="206"/>
      <c r="J135" s="206"/>
      <c r="K135" s="206"/>
      <c r="L135" s="206"/>
      <c r="M135" s="206"/>
      <c r="N135" s="206"/>
      <c r="O135" s="206"/>
    </row>
    <row r="136" spans="1:15" ht="18" customHeight="1">
      <c r="A136" s="188"/>
      <c r="B136" s="35" t="s">
        <v>256</v>
      </c>
      <c r="C136" s="30">
        <v>19366.666965090204</v>
      </c>
      <c r="D136" s="30">
        <v>25636.812441134476</v>
      </c>
      <c r="E136" s="30">
        <v>25625.555044419598</v>
      </c>
      <c r="F136" s="70">
        <v>24075.138121546963</v>
      </c>
      <c r="G136" s="206"/>
      <c r="H136" s="206"/>
      <c r="I136" s="206"/>
      <c r="J136" s="206"/>
      <c r="K136" s="206"/>
      <c r="L136" s="206"/>
      <c r="M136" s="206"/>
      <c r="N136" s="206"/>
      <c r="O136" s="206"/>
    </row>
    <row r="137" spans="1:15" ht="18" customHeight="1">
      <c r="A137" s="188"/>
      <c r="B137" s="35" t="s">
        <v>257</v>
      </c>
      <c r="C137" s="30">
        <v>136.08682250976563</v>
      </c>
      <c r="D137" s="30">
        <v>158.76888377385563</v>
      </c>
      <c r="E137" s="30">
        <v>159.82675170898438</v>
      </c>
      <c r="F137" s="70">
        <v>153.90809631347656</v>
      </c>
      <c r="G137" s="206"/>
      <c r="H137" s="206"/>
      <c r="I137" s="206"/>
      <c r="J137" s="206"/>
      <c r="K137" s="206"/>
      <c r="L137" s="206"/>
      <c r="M137" s="206"/>
      <c r="N137" s="206"/>
      <c r="O137" s="206"/>
    </row>
    <row r="138" spans="1:15" ht="18" customHeight="1">
      <c r="A138" s="188"/>
      <c r="B138" s="35" t="s">
        <v>258</v>
      </c>
      <c r="C138" s="30">
        <f ca="1">71.6607988354904*OFFSET($L$112,MATCH($N$1,$C$112:$C$113,0)-1,0)</f>
        <v>71.660798835490397</v>
      </c>
      <c r="D138" s="30">
        <f ca="1">83.3565439222159*OFFSET($L$112,MATCH($N$1,$C$112:$C$113,0)-1,0)</f>
        <v>83.356543922215906</v>
      </c>
      <c r="E138" s="30">
        <f ca="1">84.0078354677398*OFFSET($L$112,MATCH($N$1,$C$112:$C$113,0)-1,0)</f>
        <v>84.007835467739795</v>
      </c>
      <c r="F138" s="70">
        <f ca="1">80.8770965720515*OFFSET($L$112,MATCH($N$1,$C$112:$C$113,0)-1,0)</f>
        <v>80.877096572051499</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117.960201364403*OFFSET($L$112,MATCH($N$1,$C$112:$C$113,0)-1,0)</f>
        <v>117.96020136440301</v>
      </c>
      <c r="D139" s="30">
        <f ca="1">239.749026779857*OFFSET($L$112,MATCH($N$1,$C$112:$C$113,0)-1,0)</f>
        <v>239.74902677985699</v>
      </c>
      <c r="E139" s="30">
        <f ca="1">546.554736358827*OFFSET($L$112,MATCH($N$1,$C$112:$C$113,0)-1,0)</f>
        <v>546.55473635882697</v>
      </c>
      <c r="F139" s="70">
        <f ca="1">226.535026762861*OFFSET($L$112,MATCH($N$1,$C$112:$C$113,0)-1,0)</f>
        <v>226.53502676286101</v>
      </c>
      <c r="G139" s="206"/>
      <c r="H139" s="206"/>
      <c r="I139" s="46"/>
      <c r="J139" s="206"/>
      <c r="K139" s="71" t="s">
        <v>260</v>
      </c>
      <c r="L139" s="72">
        <f t="shared" ref="L139:M141" ca="1" si="2">C140</f>
        <v>305.89131250000003</v>
      </c>
      <c r="M139" s="72">
        <f t="shared" ca="1" si="2"/>
        <v>189.195034684066</v>
      </c>
      <c r="N139" s="72">
        <f ca="1">E140</f>
        <v>87.817687500000005</v>
      </c>
      <c r="O139" s="72"/>
    </row>
    <row r="140" spans="1:15" ht="18" customHeight="1">
      <c r="A140" s="166" t="s">
        <v>261</v>
      </c>
      <c r="B140" s="33" t="s">
        <v>262</v>
      </c>
      <c r="C140" s="73">
        <f ca="1">305.8913125*OFFSET($L$112,MATCH($N$1,$C$112:$C$113,0)-1,0)</f>
        <v>305.89131250000003</v>
      </c>
      <c r="D140" s="73">
        <f ca="1">189.195034684066*OFFSET($L$112,MATCH($N$1,$C$112:$C$113,0)-1,0)</f>
        <v>189.195034684066</v>
      </c>
      <c r="E140" s="73">
        <f ca="1">87.8176875*OFFSET($L$112,MATCH($N$1,$C$112:$C$113,0)-1,0)</f>
        <v>87.817687500000005</v>
      </c>
      <c r="F140" s="74">
        <f ca="1">193.003609375*OFFSET($L$112,MATCH($N$1,$C$112:$C$113,0)-1,0)</f>
        <v>193.003609375</v>
      </c>
      <c r="G140" s="206"/>
      <c r="H140" s="206"/>
      <c r="I140" s="46"/>
      <c r="J140" s="206"/>
      <c r="K140" s="71" t="s">
        <v>263</v>
      </c>
      <c r="L140" s="72">
        <f t="shared" ca="1" si="2"/>
        <v>188.32165624999999</v>
      </c>
      <c r="M140" s="72">
        <f t="shared" ca="1" si="2"/>
        <v>123.629939217033</v>
      </c>
      <c r="N140" s="72">
        <f ca="1">E141</f>
        <v>64.606363281249997</v>
      </c>
      <c r="O140" s="72"/>
    </row>
    <row r="141" spans="1:15" ht="18" customHeight="1">
      <c r="A141" s="167"/>
      <c r="B141" s="35" t="s">
        <v>264</v>
      </c>
      <c r="C141" s="30">
        <f ca="1">188.32165625*OFFSET($L$112,MATCH($N$1,$C$112:$C$113,0)-1,0)</f>
        <v>188.32165624999999</v>
      </c>
      <c r="D141" s="30">
        <f ca="1">123.629939217033*OFFSET($L$112,MATCH($N$1,$C$112:$C$113,0)-1,0)</f>
        <v>123.629939217033</v>
      </c>
      <c r="E141" s="30">
        <f ca="1">64.60636328125*OFFSET($L$112,MATCH($N$1,$C$112:$C$113,0)-1,0)</f>
        <v>64.606363281249997</v>
      </c>
      <c r="F141" s="70">
        <f ca="1">125.0391484375*OFFSET($L$112,MATCH($N$1,$C$112:$C$113,0)-1,0)</f>
        <v>125.0391484375</v>
      </c>
      <c r="G141" s="206"/>
      <c r="H141" s="206"/>
      <c r="I141" s="46"/>
      <c r="J141" s="206"/>
      <c r="K141" s="71" t="s">
        <v>265</v>
      </c>
      <c r="L141" s="72">
        <f t="shared" ca="1" si="2"/>
        <v>117.56965624999999</v>
      </c>
      <c r="M141" s="72">
        <f t="shared" ca="1" si="2"/>
        <v>65.565095467033004</v>
      </c>
      <c r="N141" s="72">
        <f ca="1">E142</f>
        <v>23.211324218750001</v>
      </c>
      <c r="O141" s="72"/>
    </row>
    <row r="142" spans="1:15" ht="18" customHeight="1">
      <c r="A142" s="168"/>
      <c r="B142" s="37" t="s">
        <v>266</v>
      </c>
      <c r="C142" s="38">
        <f ca="1">117.56965625*OFFSET($L$112,MATCH($N$1,$C$112:$C$113,0)-1,0)</f>
        <v>117.56965624999999</v>
      </c>
      <c r="D142" s="38">
        <f ca="1">65.565095467033*OFFSET($L$112,MATCH($N$1,$C$112:$C$113,0)-1,0)</f>
        <v>65.565095467033004</v>
      </c>
      <c r="E142" s="38">
        <f ca="1">23.21132421875*OFFSET($L$112,MATCH($N$1,$C$112:$C$113,0)-1,0)</f>
        <v>23.211324218750001</v>
      </c>
      <c r="F142" s="63">
        <f ca="1">67.9644609375*OFFSET($L$112,MATCH($N$1,$C$112:$C$113,0)-1,0)</f>
        <v>67.964460937499993</v>
      </c>
      <c r="G142" s="206"/>
      <c r="H142" s="206"/>
      <c r="I142" s="46"/>
      <c r="J142" s="206"/>
      <c r="K142" s="71" t="s">
        <v>267</v>
      </c>
      <c r="L142" s="75">
        <f ca="1">IFERROR(L140/L$139,"")</f>
        <v>0.61564892023535311</v>
      </c>
      <c r="M142" s="75">
        <f t="shared" ref="M142:N143" ca="1" si="3">IFERROR(M140/M$139,"")</f>
        <v>0.65345234574195254</v>
      </c>
      <c r="N142" s="75">
        <f t="shared" ca="1" si="3"/>
        <v>0.7356873668672953</v>
      </c>
      <c r="O142" s="75"/>
    </row>
    <row r="143" spans="1:15" ht="18" customHeight="1">
      <c r="A143" s="206"/>
      <c r="B143" s="206"/>
      <c r="C143" s="206"/>
      <c r="D143" s="206"/>
      <c r="E143" s="206"/>
      <c r="F143" s="206"/>
      <c r="G143" s="206"/>
      <c r="H143" s="206"/>
      <c r="I143" s="46"/>
      <c r="J143" s="206"/>
      <c r="K143" s="71" t="s">
        <v>268</v>
      </c>
      <c r="L143" s="75">
        <f ca="1">IFERROR(L141/L$139,"")</f>
        <v>0.38435107976464672</v>
      </c>
      <c r="M143" s="75">
        <f t="shared" ca="1" si="3"/>
        <v>0.34654765425804746</v>
      </c>
      <c r="N143" s="75">
        <f t="shared" ca="1" si="3"/>
        <v>0.26431263313270459</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8</v>
      </c>
      <c r="B161" s="51"/>
      <c r="C161" s="76" t="s">
        <v>249</v>
      </c>
      <c r="D161" s="76" t="s">
        <v>270</v>
      </c>
      <c r="E161" s="76" t="s">
        <v>251</v>
      </c>
      <c r="F161" s="76" t="s">
        <v>271</v>
      </c>
      <c r="G161" s="77">
        <v>7</v>
      </c>
      <c r="H161" s="76"/>
      <c r="I161" s="76" t="s">
        <v>249</v>
      </c>
      <c r="J161" s="76" t="s">
        <v>270</v>
      </c>
      <c r="K161" s="76" t="s">
        <v>251</v>
      </c>
      <c r="L161" s="51" t="s">
        <v>271</v>
      </c>
      <c r="R161" s="206"/>
      <c r="S161" s="206"/>
    </row>
    <row r="162" spans="1:19" s="46" customFormat="1">
      <c r="A162" s="47">
        <v>1</v>
      </c>
      <c r="B162" s="51" t="s">
        <v>170</v>
      </c>
      <c r="C162" s="51">
        <v>0.59873398490147312</v>
      </c>
      <c r="D162" s="51">
        <v>0.42525074479548919</v>
      </c>
      <c r="E162" s="51">
        <v>0.36943442947941924</v>
      </c>
      <c r="F162" s="47">
        <v>12153634</v>
      </c>
      <c r="G162" s="47">
        <v>1</v>
      </c>
      <c r="H162" s="51" t="s">
        <v>170</v>
      </c>
      <c r="I162" s="51">
        <v>0.44014301041554627</v>
      </c>
      <c r="J162" s="51">
        <v>0.315707652648967</v>
      </c>
      <c r="K162" s="51">
        <v>0.2570483135534955</v>
      </c>
      <c r="L162" s="47">
        <v>12153634</v>
      </c>
      <c r="R162" s="206"/>
      <c r="S162" s="206"/>
    </row>
    <row r="163" spans="1:19" s="46" customFormat="1">
      <c r="A163" s="47">
        <v>2</v>
      </c>
      <c r="B163" s="51" t="s">
        <v>378</v>
      </c>
      <c r="C163" s="51">
        <v>0.25515538025667334</v>
      </c>
      <c r="D163" s="51">
        <v>0.34804685135654839</v>
      </c>
      <c r="E163" s="51">
        <v>0.37415751560474281</v>
      </c>
      <c r="F163" s="47">
        <v>1692097</v>
      </c>
      <c r="G163" s="47">
        <v>2</v>
      </c>
      <c r="H163" s="51" t="s">
        <v>160</v>
      </c>
      <c r="I163" s="51">
        <v>7.7792011750501225E-2</v>
      </c>
      <c r="J163" s="51">
        <v>0.2442887242723592</v>
      </c>
      <c r="K163" s="51">
        <v>0.21625524791439352</v>
      </c>
      <c r="L163" s="47">
        <v>3050596</v>
      </c>
      <c r="N163" s="46" t="s">
        <v>272</v>
      </c>
      <c r="R163" s="206"/>
      <c r="S163" s="206"/>
    </row>
    <row r="164" spans="1:19" s="46" customFormat="1">
      <c r="A164" s="47">
        <v>3</v>
      </c>
      <c r="B164" s="51" t="s">
        <v>160</v>
      </c>
      <c r="C164" s="51">
        <v>2.0185795318376044E-2</v>
      </c>
      <c r="D164" s="51">
        <v>6.6934312512294494E-2</v>
      </c>
      <c r="E164" s="51">
        <v>6.0703704388613076E-2</v>
      </c>
      <c r="F164" s="47">
        <v>3050596</v>
      </c>
      <c r="G164" s="47">
        <v>3</v>
      </c>
      <c r="H164" s="51" t="s">
        <v>167</v>
      </c>
      <c r="I164" s="51">
        <v>0.33328444902675219</v>
      </c>
      <c r="J164" s="51">
        <v>0.23716559317600525</v>
      </c>
      <c r="K164" s="51">
        <v>0.24405653488892409</v>
      </c>
      <c r="L164" s="47">
        <v>553960</v>
      </c>
      <c r="N164" s="46" t="s">
        <v>273</v>
      </c>
      <c r="R164" s="206"/>
      <c r="S164" s="206"/>
    </row>
    <row r="165" spans="1:19" s="46" customFormat="1">
      <c r="A165" s="47">
        <v>4</v>
      </c>
      <c r="B165" s="51" t="s">
        <v>342</v>
      </c>
      <c r="C165" s="51">
        <v>0</v>
      </c>
      <c r="D165" s="51">
        <v>6.0756547998338517E-2</v>
      </c>
      <c r="E165" s="51">
        <v>0</v>
      </c>
      <c r="F165" s="47">
        <v>11115023</v>
      </c>
      <c r="G165" s="47">
        <v>4</v>
      </c>
      <c r="H165" s="51" t="s">
        <v>378</v>
      </c>
      <c r="I165" s="51">
        <v>0.10555511220660951</v>
      </c>
      <c r="J165" s="51">
        <v>0.14683087492024394</v>
      </c>
      <c r="K165" s="51">
        <v>0.13841250148191936</v>
      </c>
      <c r="L165" s="47">
        <v>1692097</v>
      </c>
      <c r="R165" s="206"/>
      <c r="S165" s="206"/>
    </row>
    <row r="166" spans="1:19" s="46" customFormat="1">
      <c r="A166" s="47">
        <v>5</v>
      </c>
      <c r="B166" s="51" t="s">
        <v>167</v>
      </c>
      <c r="C166" s="51">
        <v>7.7375141643997253E-2</v>
      </c>
      <c r="D166" s="51">
        <v>5.3640844503017163E-2</v>
      </c>
      <c r="E166" s="51">
        <v>5.7073512329139264E-2</v>
      </c>
      <c r="F166" s="47">
        <v>553960</v>
      </c>
      <c r="G166" s="47">
        <v>5</v>
      </c>
      <c r="H166" s="51" t="s">
        <v>379</v>
      </c>
      <c r="I166" s="51">
        <v>0</v>
      </c>
      <c r="J166" s="51">
        <v>1.7495879580238544E-2</v>
      </c>
      <c r="K166" s="51">
        <v>7.244045186935083E-2</v>
      </c>
      <c r="L166" s="47">
        <v>3689192</v>
      </c>
      <c r="R166" s="206"/>
      <c r="S166" s="206"/>
    </row>
    <row r="167" spans="1:19" s="46" customFormat="1">
      <c r="A167" s="47">
        <v>6</v>
      </c>
      <c r="B167" s="51" t="s">
        <v>379</v>
      </c>
      <c r="C167" s="51">
        <v>1.5191178488411533E-2</v>
      </c>
      <c r="D167" s="51">
        <v>0</v>
      </c>
      <c r="E167" s="51">
        <v>7.8326254428030831E-2</v>
      </c>
      <c r="F167" s="47">
        <v>3689192</v>
      </c>
      <c r="G167" s="47">
        <v>6</v>
      </c>
      <c r="H167" s="51" t="s">
        <v>245</v>
      </c>
      <c r="I167" s="51">
        <v>2.949672374424539E-2</v>
      </c>
      <c r="J167" s="51">
        <v>3.8511275402186018E-2</v>
      </c>
      <c r="K167" s="51">
        <v>7.1786950291916618E-2</v>
      </c>
      <c r="L167" s="47">
        <v>5920853</v>
      </c>
      <c r="R167" s="206"/>
      <c r="S167" s="206"/>
    </row>
    <row r="168" spans="1:19" s="46" customFormat="1">
      <c r="A168" s="47">
        <v>7</v>
      </c>
      <c r="B168" s="51" t="s">
        <v>245</v>
      </c>
      <c r="C168" s="51">
        <v>3.3358519391068597E-2</v>
      </c>
      <c r="D168" s="51">
        <v>4.5370698834312106E-2</v>
      </c>
      <c r="E168" s="51">
        <v>6.0304583770054765E-2</v>
      </c>
      <c r="F168" s="47">
        <v>5920853</v>
      </c>
      <c r="G168" s="47">
        <v>7</v>
      </c>
      <c r="H168" s="51"/>
      <c r="I168" s="51">
        <v>1.3728692856345336E-2</v>
      </c>
      <c r="J168" s="51">
        <v>0</v>
      </c>
      <c r="K168" s="51">
        <v>0</v>
      </c>
      <c r="L168" s="47">
        <v>11115023</v>
      </c>
      <c r="R168" s="206"/>
      <c r="S168" s="206"/>
    </row>
    <row r="169" spans="1:19" s="46" customFormat="1">
      <c r="A169" s="47">
        <v>8</v>
      </c>
      <c r="B169" s="51"/>
      <c r="C169" s="51">
        <v>0</v>
      </c>
      <c r="D169" s="51">
        <v>0</v>
      </c>
      <c r="E169" s="51">
        <v>0</v>
      </c>
      <c r="F169" s="47">
        <v>11115023</v>
      </c>
      <c r="G169" s="47">
        <v>8</v>
      </c>
      <c r="H169" s="51"/>
      <c r="I169" s="51">
        <v>1.3728692856345336E-2</v>
      </c>
      <c r="J169" s="51">
        <v>0</v>
      </c>
      <c r="K169" s="51">
        <v>0</v>
      </c>
      <c r="L169" s="47">
        <v>11115023</v>
      </c>
      <c r="R169" s="206"/>
      <c r="S169" s="206"/>
    </row>
    <row r="170" spans="1:19" s="46" customFormat="1">
      <c r="A170" s="47">
        <v>9</v>
      </c>
      <c r="B170" s="51"/>
      <c r="C170" s="51">
        <v>0</v>
      </c>
      <c r="D170" s="51">
        <v>0</v>
      </c>
      <c r="E170" s="51">
        <v>0</v>
      </c>
      <c r="F170" s="47">
        <v>11115023</v>
      </c>
      <c r="G170" s="47">
        <v>9</v>
      </c>
      <c r="H170" s="51"/>
      <c r="I170" s="51">
        <v>1.3728692856345336E-2</v>
      </c>
      <c r="J170" s="51">
        <v>0</v>
      </c>
      <c r="K170" s="51">
        <v>0</v>
      </c>
      <c r="L170" s="47">
        <v>11115023</v>
      </c>
      <c r="R170" s="206"/>
      <c r="S170" s="206"/>
    </row>
    <row r="171" spans="1:19" s="46" customFormat="1">
      <c r="A171" s="47">
        <v>10</v>
      </c>
      <c r="B171" s="51"/>
      <c r="C171" s="51">
        <v>0</v>
      </c>
      <c r="D171" s="51">
        <v>0</v>
      </c>
      <c r="E171" s="51">
        <v>0</v>
      </c>
      <c r="F171" s="47">
        <v>11115023</v>
      </c>
      <c r="G171" s="47">
        <v>10</v>
      </c>
      <c r="H171" s="51"/>
      <c r="I171" s="51">
        <v>1.3728692856345336E-2</v>
      </c>
      <c r="J171" s="51">
        <v>0</v>
      </c>
      <c r="K171" s="51">
        <v>0</v>
      </c>
      <c r="L171" s="47">
        <v>11115023</v>
      </c>
      <c r="R171" s="206"/>
      <c r="S171" s="206"/>
    </row>
    <row r="172" spans="1:19" s="46" customFormat="1">
      <c r="A172" s="47">
        <v>11</v>
      </c>
      <c r="B172" s="51"/>
      <c r="C172" s="51">
        <v>0</v>
      </c>
      <c r="D172" s="51">
        <v>0</v>
      </c>
      <c r="E172" s="51">
        <v>0</v>
      </c>
      <c r="F172" s="47">
        <v>11115023</v>
      </c>
      <c r="G172" s="47">
        <v>11</v>
      </c>
      <c r="H172" s="51"/>
      <c r="I172" s="51">
        <v>1.3728692856345336E-2</v>
      </c>
      <c r="J172" s="51">
        <v>0</v>
      </c>
      <c r="K172" s="51">
        <v>0</v>
      </c>
      <c r="L172" s="47">
        <v>11115023</v>
      </c>
      <c r="R172" s="206"/>
      <c r="S172" s="206"/>
    </row>
    <row r="173" spans="1:19" s="46" customFormat="1">
      <c r="A173" s="47">
        <v>12</v>
      </c>
      <c r="B173" s="51"/>
      <c r="C173" s="51">
        <v>0</v>
      </c>
      <c r="D173" s="51">
        <v>0</v>
      </c>
      <c r="E173" s="51">
        <v>0</v>
      </c>
      <c r="F173" s="47">
        <v>11115023</v>
      </c>
      <c r="G173" s="47">
        <v>12</v>
      </c>
      <c r="H173" s="51"/>
      <c r="I173" s="51">
        <v>1.3728692856345336E-2</v>
      </c>
      <c r="J173" s="51">
        <v>0</v>
      </c>
      <c r="K173" s="51">
        <v>0</v>
      </c>
      <c r="L173" s="47">
        <v>11115023</v>
      </c>
      <c r="R173" s="206"/>
      <c r="S173" s="206"/>
    </row>
    <row r="174" spans="1:19" s="46" customFormat="1">
      <c r="A174" s="47">
        <v>13</v>
      </c>
      <c r="B174" s="51"/>
      <c r="C174" s="51">
        <v>0</v>
      </c>
      <c r="D174" s="51">
        <v>0</v>
      </c>
      <c r="E174" s="51">
        <v>0</v>
      </c>
      <c r="F174" s="47">
        <v>11115023</v>
      </c>
      <c r="G174" s="47">
        <v>13</v>
      </c>
      <c r="H174" s="51"/>
      <c r="I174" s="51">
        <v>1.3728692856345336E-2</v>
      </c>
      <c r="J174" s="51">
        <v>0</v>
      </c>
      <c r="K174" s="51">
        <v>0</v>
      </c>
      <c r="L174" s="47">
        <v>11115023</v>
      </c>
      <c r="R174" s="206"/>
      <c r="S174" s="206"/>
    </row>
    <row r="175" spans="1:19" s="46" customFormat="1">
      <c r="A175" s="47">
        <v>14</v>
      </c>
      <c r="B175" s="51"/>
      <c r="C175" s="51">
        <v>0</v>
      </c>
      <c r="D175" s="51">
        <v>0</v>
      </c>
      <c r="E175" s="51">
        <v>0</v>
      </c>
      <c r="F175" s="47">
        <v>11115023</v>
      </c>
      <c r="G175" s="47">
        <v>14</v>
      </c>
      <c r="H175" s="51"/>
      <c r="I175" s="51">
        <v>1.3728692856345336E-2</v>
      </c>
      <c r="J175" s="51">
        <v>0</v>
      </c>
      <c r="K175" s="51">
        <v>0</v>
      </c>
      <c r="L175" s="47">
        <v>11115023</v>
      </c>
      <c r="R175" s="206"/>
      <c r="S175" s="206"/>
    </row>
    <row r="176" spans="1:19" s="46" customFormat="1">
      <c r="A176" s="47">
        <v>15</v>
      </c>
      <c r="B176" s="51"/>
      <c r="C176" s="51">
        <v>0</v>
      </c>
      <c r="D176" s="51">
        <v>0</v>
      </c>
      <c r="E176" s="51">
        <v>0</v>
      </c>
      <c r="F176" s="47">
        <v>11115023</v>
      </c>
      <c r="G176" s="47">
        <v>15</v>
      </c>
      <c r="H176" s="51"/>
      <c r="I176" s="51">
        <v>1.3728692856345336E-2</v>
      </c>
      <c r="J176" s="51">
        <v>0</v>
      </c>
      <c r="K176" s="51">
        <v>0</v>
      </c>
      <c r="L176" s="47">
        <v>11115023</v>
      </c>
      <c r="R176" s="206"/>
      <c r="S176" s="206"/>
    </row>
    <row r="177" spans="1:19" s="46" customFormat="1">
      <c r="A177" s="47">
        <v>16</v>
      </c>
      <c r="B177" s="51"/>
      <c r="C177" s="51">
        <v>0</v>
      </c>
      <c r="D177" s="51">
        <v>0</v>
      </c>
      <c r="E177" s="51">
        <v>0</v>
      </c>
      <c r="F177" s="47">
        <v>11115023</v>
      </c>
      <c r="G177" s="47">
        <v>16</v>
      </c>
      <c r="H177" s="51"/>
      <c r="I177" s="51">
        <v>1.3728692856345336E-2</v>
      </c>
      <c r="J177" s="51">
        <v>0</v>
      </c>
      <c r="K177" s="51">
        <v>0</v>
      </c>
      <c r="L177" s="47">
        <v>11115023</v>
      </c>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79484749-BFF6-4FF2-A2F6-729998DB45F1}">
      <formula1>$C$112:$C$113</formula1>
    </dataValidation>
  </dataValidations>
  <hyperlinks>
    <hyperlink ref="O1:P1" location="Home_page" display="Back to home page" xr:uid="{79F5D951-B0D4-4E8E-9ACB-01D5312A43DD}"/>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B180AEC7-4B63-4A00-BC81-B7A910C218D5}">
          <x14:colorSeries rgb="FF323232"/>
          <x14:colorNegative rgb="FFD00000"/>
          <x14:colorAxis rgb="FF000000"/>
          <x14:colorMarkers rgb="FFD00000"/>
          <x14:colorFirst rgb="FFD00000"/>
          <x14:colorLast rgb="FFD00000"/>
          <x14:colorHigh rgb="FFD00000"/>
          <x14:colorLow rgb="FFD00000"/>
          <x14:sparklines>
            <x14:sparkline>
              <xm:f>'Pots and traps 10-12m'!D3:N3</xm:f>
              <xm:sqref>C3</xm:sqref>
            </x14:sparkline>
            <x14:sparkline>
              <xm:f>'Pots and traps 10-12m'!D4:N4</xm:f>
              <xm:sqref>C4</xm:sqref>
            </x14:sparkline>
            <x14:sparkline>
              <xm:f>'Pots and traps 10-12m'!D5:N5</xm:f>
              <xm:sqref>C5</xm:sqref>
            </x14:sparkline>
            <x14:sparkline>
              <xm:f>'Pots and traps 10-12m'!D6:N6</xm:f>
              <xm:sqref>C6</xm:sqref>
            </x14:sparkline>
            <x14:sparkline>
              <xm:f>'Pots and traps 10-12m'!D7:N7</xm:f>
              <xm:sqref>C7</xm:sqref>
            </x14:sparkline>
            <x14:sparkline>
              <xm:f>'Pots and traps 10-12m'!D8:N8</xm:f>
              <xm:sqref>C8</xm:sqref>
            </x14:sparkline>
            <x14:sparkline>
              <xm:f>'Pots and traps 10-12m'!D9:N9</xm:f>
              <xm:sqref>C9</xm:sqref>
            </x14:sparkline>
            <x14:sparkline>
              <xm:f>'Pots and traps 10-12m'!D10:N10</xm:f>
              <xm:sqref>C10</xm:sqref>
            </x14:sparkline>
            <x14:sparkline>
              <xm:f>'Pots and traps 10-12m'!D11:N11</xm:f>
              <xm:sqref>C11</xm:sqref>
            </x14:sparkline>
            <x14:sparkline>
              <xm:f>'Pots and traps 10-12m'!D12:N12</xm:f>
              <xm:sqref>C12</xm:sqref>
            </x14:sparkline>
            <x14:sparkline>
              <xm:f>'Pots and traps 10-12m'!D13:N13</xm:f>
              <xm:sqref>C13</xm:sqref>
            </x14:sparkline>
            <x14:sparkline>
              <xm:f>'Pots and traps 10-12m'!D14:N14</xm:f>
              <xm:sqref>C14</xm:sqref>
            </x14:sparkline>
            <x14:sparkline>
              <xm:f>'Pots and traps 10-12m'!D15:N15</xm:f>
              <xm:sqref>C15</xm:sqref>
            </x14:sparkline>
            <x14:sparkline>
              <xm:f>'Pots and traps 10-12m'!D16:N16</xm:f>
              <xm:sqref>C16</xm:sqref>
            </x14:sparkline>
            <x14:sparkline>
              <xm:f>'Pots and traps 10-12m'!D17:N17</xm:f>
              <xm:sqref>C17</xm:sqref>
            </x14:sparkline>
            <x14:sparkline>
              <xm:f>'Pots and traps 10-12m'!D18:N18</xm:f>
              <xm:sqref>C18</xm:sqref>
            </x14:sparkline>
            <x14:sparkline>
              <xm:f>'Pots and traps 10-12m'!D19:N19</xm:f>
              <xm:sqref>C19</xm:sqref>
            </x14:sparkline>
            <x14:sparkline>
              <xm:f>'Pots and traps 10-12m'!D20:N20</xm:f>
              <xm:sqref>C20</xm:sqref>
            </x14:sparkline>
            <x14:sparkline>
              <xm:f>'Pots and traps 10-12m'!D21:N21</xm:f>
              <xm:sqref>C21</xm:sqref>
            </x14:sparkline>
            <x14:sparkline>
              <xm:f>'Pots and traps 10-12m'!D22:N22</xm:f>
              <xm:sqref>C22</xm:sqref>
            </x14:sparkline>
            <x14:sparkline>
              <xm:f>'Pots and traps 10-12m'!D23:N23</xm:f>
              <xm:sqref>C23</xm:sqref>
            </x14:sparkline>
            <x14:sparkline>
              <xm:f>'Pots and traps 10-12m'!D24:N24</xm:f>
              <xm:sqref>C24</xm:sqref>
            </x14:sparkline>
            <x14:sparkline>
              <xm:f>'Pots and traps 10-12m'!D25:N25</xm:f>
              <xm:sqref>C25</xm:sqref>
            </x14:sparkline>
            <x14:sparkline>
              <xm:f>'Pots and traps 10-12m'!D26:N26</xm:f>
              <xm:sqref>C26</xm:sqref>
            </x14:sparkline>
            <x14:sparkline>
              <xm:f>'Pots and traps 10-12m'!D27:N27</xm:f>
              <xm:sqref>C27</xm:sqref>
            </x14:sparkline>
            <x14:sparkline>
              <xm:f>'Pots and traps 10-12m'!D28:N28</xm:f>
              <xm:sqref>C28</xm:sqref>
            </x14:sparkline>
            <x14:sparkline>
              <xm:f>'Pots and traps 10-12m'!D29:N29</xm:f>
              <xm:sqref>C29</xm:sqref>
            </x14:sparkline>
            <x14:sparkline>
              <xm:f>'Pots and traps 10-12m'!D30:N30</xm:f>
              <xm:sqref>C30</xm:sqref>
            </x14:sparkline>
            <x14:sparkline>
              <xm:f>'Pots and traps 10-12m'!D31:N31</xm:f>
              <xm:sqref>C31</xm:sqref>
            </x14:sparkline>
            <x14:sparkline>
              <xm:f>'Pots and traps 10-12m'!D32:N32</xm:f>
              <xm:sqref>C32</xm:sqref>
            </x14:sparkline>
            <x14:sparkline>
              <xm:f>'Pots and traps 10-12m'!D33:N33</xm:f>
              <xm:sqref>C33</xm:sqref>
            </x14:sparkline>
            <x14:sparkline>
              <xm:f>'Pots and traps 10-12m'!D34:N34</xm:f>
              <xm:sqref>C34</xm:sqref>
            </x14:sparkline>
            <x14:sparkline>
              <xm:f>'Pots and traps 10-12m'!D35:N35</xm:f>
              <xm:sqref>C35</xm:sqref>
            </x14:sparkline>
            <x14:sparkline>
              <xm:f>'Pots and traps 10-12m'!D36:N36</xm:f>
              <xm:sqref>C36</xm:sqref>
            </x14:sparkline>
            <x14:sparkline>
              <xm:f>'Pots and traps 10-12m'!D37:N37</xm:f>
              <xm:sqref>C37</xm:sqref>
            </x14:sparkline>
            <x14:sparkline>
              <xm:f>'Pots and traps 10-12m'!D38:N38</xm:f>
              <xm:sqref>C38</xm:sqref>
            </x14:sparkline>
            <x14:sparkline>
              <xm:f>'Pots and traps 10-12m'!D39:N39</xm:f>
              <xm:sqref>C39</xm:sqref>
            </x14:sparkline>
            <x14:sparkline>
              <xm:f>'Pots and traps 10-12m'!D40:N40</xm:f>
              <xm:sqref>C40</xm:sqref>
            </x14:sparkline>
            <x14:sparkline>
              <xm:f>'Pots and traps 10-12m'!D41:N41</xm:f>
              <xm:sqref>C41</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9468-B4B2-415A-8F28-892FAEB65C1F}">
  <sheetPr codeName="Feuil28">
    <pageSetUpPr fitToPage="1"/>
  </sheetPr>
  <dimension ref="A1:S192"/>
  <sheetViews>
    <sheetView topLeftCell="A43"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30</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78</v>
      </c>
      <c r="E3" s="27">
        <v>80</v>
      </c>
      <c r="F3" s="27">
        <v>80</v>
      </c>
      <c r="G3" s="27">
        <v>86</v>
      </c>
      <c r="H3" s="27">
        <v>91</v>
      </c>
      <c r="I3" s="27">
        <v>95</v>
      </c>
      <c r="J3" s="27">
        <v>92</v>
      </c>
      <c r="K3" s="27">
        <v>91</v>
      </c>
      <c r="L3" s="27">
        <v>98</v>
      </c>
      <c r="M3" s="27">
        <v>105</v>
      </c>
      <c r="N3" s="27">
        <v>109</v>
      </c>
      <c r="O3" s="28">
        <f t="shared" ref="O3:O41" si="0">IF(N3=0,"",IFERROR(IF(AND(N3&gt;0,D3&lt;0),"na",IF(AND(N3&lt;0,D3&lt;0),-1,1)*(N3-D3)/D3),""))</f>
        <v>0.39743589743589741</v>
      </c>
      <c r="P3" s="28">
        <f t="shared" ref="P3:P41" si="1">IF(N3=0,"",IFERROR(IF(AND(N3&gt;0,J3&lt;0),"na",IF(AND(N3&lt;0,J3&lt;0),-1,1)*(N3-J3)/J3),""))</f>
        <v>0.18478260869565216</v>
      </c>
      <c r="Q3" s="206"/>
    </row>
    <row r="4" spans="1:17" ht="18" customHeight="1">
      <c r="A4" s="172"/>
      <c r="B4" s="29" t="s">
        <v>184</v>
      </c>
      <c r="C4" s="30"/>
      <c r="D4" s="30">
        <v>17569</v>
      </c>
      <c r="E4" s="30">
        <v>18436</v>
      </c>
      <c r="F4" s="30">
        <v>17482</v>
      </c>
      <c r="G4" s="30">
        <v>18816</v>
      </c>
      <c r="H4" s="30">
        <v>20112</v>
      </c>
      <c r="I4" s="30">
        <v>21426</v>
      </c>
      <c r="J4" s="30">
        <v>21270</v>
      </c>
      <c r="K4" s="30">
        <v>21187</v>
      </c>
      <c r="L4" s="30">
        <v>22896</v>
      </c>
      <c r="M4" s="30">
        <v>24469</v>
      </c>
      <c r="N4" s="30">
        <v>25319</v>
      </c>
      <c r="O4" s="28">
        <f t="shared" si="0"/>
        <v>0.44111787808071035</v>
      </c>
      <c r="P4" s="28">
        <f t="shared" si="1"/>
        <v>0.19036201222378937</v>
      </c>
      <c r="Q4" s="206"/>
    </row>
    <row r="5" spans="1:17" ht="18" customHeight="1">
      <c r="A5" s="172"/>
      <c r="B5" s="29" t="s">
        <v>185</v>
      </c>
      <c r="C5" s="30"/>
      <c r="D5" s="30">
        <v>4558</v>
      </c>
      <c r="E5" s="30">
        <v>4548</v>
      </c>
      <c r="F5" s="30">
        <v>4161</v>
      </c>
      <c r="G5" s="30">
        <v>4613</v>
      </c>
      <c r="H5" s="30">
        <v>4772</v>
      </c>
      <c r="I5" s="30">
        <v>5042</v>
      </c>
      <c r="J5" s="30">
        <v>4939</v>
      </c>
      <c r="K5" s="30">
        <v>5170</v>
      </c>
      <c r="L5" s="30">
        <v>5450</v>
      </c>
      <c r="M5" s="30">
        <v>6074</v>
      </c>
      <c r="N5" s="30">
        <v>6414</v>
      </c>
      <c r="O5" s="28">
        <f t="shared" si="0"/>
        <v>0.40719613865730586</v>
      </c>
      <c r="P5" s="28">
        <f t="shared" si="1"/>
        <v>0.29864345009111154</v>
      </c>
      <c r="Q5" s="207"/>
    </row>
    <row r="6" spans="1:17" ht="18" customHeight="1">
      <c r="A6" s="172"/>
      <c r="B6" s="29" t="s">
        <v>186</v>
      </c>
      <c r="C6" s="30"/>
      <c r="D6" s="30">
        <v>14640.0986328125</v>
      </c>
      <c r="E6" s="30">
        <v>15125.203125</v>
      </c>
      <c r="F6" s="30">
        <v>14432.849609375</v>
      </c>
      <c r="G6" s="30">
        <v>15646.0966796875</v>
      </c>
      <c r="H6" s="30">
        <v>16525.40234375</v>
      </c>
      <c r="I6" s="30">
        <v>17432.7421875</v>
      </c>
      <c r="J6" s="30">
        <v>17077.455078125</v>
      </c>
      <c r="K6" s="30">
        <v>17307.447265625</v>
      </c>
      <c r="L6" s="30">
        <v>18649.78125</v>
      </c>
      <c r="M6" s="30">
        <v>20094.333984375</v>
      </c>
      <c r="N6" s="30">
        <v>20838.005859375</v>
      </c>
      <c r="O6" s="28">
        <f t="shared" si="0"/>
        <v>0.42335146654485512</v>
      </c>
      <c r="P6" s="28">
        <f t="shared" si="1"/>
        <v>0.22020557302282101</v>
      </c>
      <c r="Q6" s="206"/>
    </row>
    <row r="7" spans="1:17" ht="18" customHeight="1">
      <c r="A7" s="172"/>
      <c r="B7" s="29" t="s">
        <v>187</v>
      </c>
      <c r="C7" s="30"/>
      <c r="D7" s="30">
        <v>17059.603515625</v>
      </c>
      <c r="E7" s="30">
        <v>17617.455078125</v>
      </c>
      <c r="F7" s="30">
        <v>17678.470703125</v>
      </c>
      <c r="G7" s="30">
        <v>19385.208984375</v>
      </c>
      <c r="H7" s="30">
        <v>23598.138671875</v>
      </c>
      <c r="I7" s="30">
        <v>23128.52734375</v>
      </c>
      <c r="J7" s="30">
        <v>24740.69921875</v>
      </c>
      <c r="K7" s="30">
        <v>24522.57421875</v>
      </c>
      <c r="L7" s="30">
        <v>26264.751953125</v>
      </c>
      <c r="M7" s="30">
        <v>24730.13671875</v>
      </c>
      <c r="N7" s="30">
        <v>23356.0078125</v>
      </c>
      <c r="O7" s="28">
        <f t="shared" si="0"/>
        <v>0.36908268654122489</v>
      </c>
      <c r="P7" s="28">
        <f t="shared" si="1"/>
        <v>-5.596815975195224E-2</v>
      </c>
      <c r="Q7" s="206"/>
    </row>
    <row r="8" spans="1:17" ht="18" customHeight="1">
      <c r="A8" s="172"/>
      <c r="B8" s="29" t="s">
        <v>188</v>
      </c>
      <c r="C8" s="31"/>
      <c r="D8" s="31">
        <f ca="1">29.590332*OFFSET(D$112,MATCH($N$1,$C$112:$C$113,0)-1,0)</f>
        <v>29.590332</v>
      </c>
      <c r="E8" s="31">
        <f ca="1">30.577682*OFFSET(E$112,MATCH($N$1,$C$112:$C$113,0)-1,0)</f>
        <v>30.577681999999999</v>
      </c>
      <c r="F8" s="31">
        <f ca="1">30.131636*OFFSET(F$112,MATCH($N$1,$C$112:$C$113,0)-1,0)</f>
        <v>30.131636</v>
      </c>
      <c r="G8" s="31">
        <f ca="1">35.376776*OFFSET(G$112,MATCH($N$1,$C$112:$C$113,0)-1,0)</f>
        <v>35.376776</v>
      </c>
      <c r="H8" s="31">
        <f ca="1">41.97028*OFFSET(H$112,MATCH($N$1,$C$112:$C$113,0)-1,0)</f>
        <v>41.970280000000002</v>
      </c>
      <c r="I8" s="31">
        <f ca="1">40.668652*OFFSET(I$112,MATCH($N$1,$C$112:$C$113,0)-1,0)</f>
        <v>40.668652000000002</v>
      </c>
      <c r="J8" s="31">
        <f ca="1">45.617632*OFFSET(J$112,MATCH($N$1,$C$112:$C$113,0)-1,0)</f>
        <v>45.617632</v>
      </c>
      <c r="K8" s="31">
        <f ca="1">50.71004*OFFSET(K$112,MATCH($N$1,$C$112:$C$113,0)-1,0)</f>
        <v>50.710039999999999</v>
      </c>
      <c r="L8" s="31">
        <f ca="1">60.65044*OFFSET(L$112,MATCH($N$1,$C$112:$C$113,0)-1,0)</f>
        <v>60.650440000000003</v>
      </c>
      <c r="M8" s="31">
        <f ca="1">60.552196*OFFSET(M$112,MATCH($N$1,$C$112:$C$113,0)-1,0)</f>
        <v>60.552196000000002</v>
      </c>
      <c r="N8" s="31">
        <v>44.360416000000001</v>
      </c>
      <c r="O8" s="28">
        <f t="shared" ca="1" si="0"/>
        <v>0.49915235827702104</v>
      </c>
      <c r="P8" s="28">
        <f t="shared" ca="1" si="1"/>
        <v>-2.7559869832787454E-2</v>
      </c>
      <c r="Q8" s="206"/>
    </row>
    <row r="9" spans="1:17" ht="18" customHeight="1">
      <c r="A9" s="172"/>
      <c r="B9" s="29" t="s">
        <v>189</v>
      </c>
      <c r="C9" s="30"/>
      <c r="D9" s="30">
        <v>14997</v>
      </c>
      <c r="E9" s="30">
        <v>14067</v>
      </c>
      <c r="F9" s="30">
        <v>13986</v>
      </c>
      <c r="G9" s="30">
        <v>14646</v>
      </c>
      <c r="H9" s="30">
        <v>16032</v>
      </c>
      <c r="I9" s="30">
        <v>16257</v>
      </c>
      <c r="J9" s="30">
        <v>16865</v>
      </c>
      <c r="K9" s="30">
        <v>17499</v>
      </c>
      <c r="L9" s="30">
        <v>18210</v>
      </c>
      <c r="M9" s="30">
        <v>19795</v>
      </c>
      <c r="N9" s="30">
        <v>19196</v>
      </c>
      <c r="O9" s="28">
        <f t="shared" si="0"/>
        <v>0.27998933119957325</v>
      </c>
      <c r="P9" s="28">
        <f t="shared" si="1"/>
        <v>0.13821523865994664</v>
      </c>
      <c r="Q9" s="206"/>
    </row>
    <row r="10" spans="1:17" ht="18" customHeight="1">
      <c r="A10" s="172"/>
      <c r="B10" s="29" t="s">
        <v>190</v>
      </c>
      <c r="C10" s="30"/>
      <c r="D10" s="30">
        <v>536.18426513671875</v>
      </c>
      <c r="E10" s="30">
        <v>578.58203125</v>
      </c>
      <c r="F10" s="30">
        <v>438.6204833984375</v>
      </c>
      <c r="G10" s="30">
        <v>522.34136962890625</v>
      </c>
      <c r="H10" s="30">
        <v>554.63763427734375</v>
      </c>
      <c r="I10" s="30">
        <v>518.2020263671875</v>
      </c>
      <c r="J10" s="30">
        <v>677.47998046875</v>
      </c>
      <c r="K10" s="30">
        <v>617.054443359375</v>
      </c>
      <c r="L10" s="30">
        <v>837.164794921875</v>
      </c>
      <c r="M10" s="30">
        <v>710.21929931640625</v>
      </c>
      <c r="N10" s="30">
        <v>689.80804443359375</v>
      </c>
      <c r="O10" s="32">
        <f t="shared" si="0"/>
        <v>0.28651303159316566</v>
      </c>
      <c r="P10" s="32">
        <f t="shared" si="1"/>
        <v>1.819694207984409E-2</v>
      </c>
      <c r="Q10" s="206"/>
    </row>
    <row r="11" spans="1:17" ht="18" customHeight="1">
      <c r="A11" s="173" t="s">
        <v>191</v>
      </c>
      <c r="B11" s="33" t="s">
        <v>192</v>
      </c>
      <c r="C11" s="34"/>
      <c r="D11" s="34">
        <v>15.538461685180664</v>
      </c>
      <c r="E11" s="34">
        <v>15.501625061035156</v>
      </c>
      <c r="F11" s="34">
        <v>15.138500213623047</v>
      </c>
      <c r="G11" s="34">
        <v>15.286744117736816</v>
      </c>
      <c r="H11" s="34">
        <v>15.316923141479492</v>
      </c>
      <c r="I11" s="34">
        <v>15.349263191223145</v>
      </c>
      <c r="J11" s="34">
        <v>15.307282447814941</v>
      </c>
      <c r="K11" s="34">
        <v>15.491428375244141</v>
      </c>
      <c r="L11" s="34">
        <v>15.430816650390625</v>
      </c>
      <c r="M11" s="34">
        <v>15.489333152770996</v>
      </c>
      <c r="N11" s="34">
        <v>15.455963134765625</v>
      </c>
      <c r="O11" s="28">
        <f t="shared" si="0"/>
        <v>-5.3093126003405829E-3</v>
      </c>
      <c r="P11" s="28">
        <f t="shared" si="1"/>
        <v>9.7130687604126114E-3</v>
      </c>
      <c r="Q11" s="206"/>
    </row>
    <row r="12" spans="1:17" ht="18" customHeight="1">
      <c r="A12" s="174"/>
      <c r="B12" s="35" t="s">
        <v>184</v>
      </c>
      <c r="C12" s="30"/>
      <c r="D12" s="30">
        <v>225.24359130859375</v>
      </c>
      <c r="E12" s="30">
        <v>230.44999694824219</v>
      </c>
      <c r="F12" s="30">
        <v>218.52499389648438</v>
      </c>
      <c r="G12" s="30">
        <v>218.79069519042969</v>
      </c>
      <c r="H12" s="30">
        <v>221.010986328125</v>
      </c>
      <c r="I12" s="30">
        <v>225.53683471679688</v>
      </c>
      <c r="J12" s="30">
        <v>231.19564819335938</v>
      </c>
      <c r="K12" s="30">
        <v>232.82417297363281</v>
      </c>
      <c r="L12" s="30">
        <v>233.63265991210938</v>
      </c>
      <c r="M12" s="30">
        <v>233.03810119628906</v>
      </c>
      <c r="N12" s="30">
        <v>232.28440856933594</v>
      </c>
      <c r="O12" s="28">
        <f t="shared" si="0"/>
        <v>3.1258679635843466E-2</v>
      </c>
      <c r="P12" s="28">
        <f t="shared" si="1"/>
        <v>4.709259817321401E-3</v>
      </c>
      <c r="Q12" s="206"/>
    </row>
    <row r="13" spans="1:17" ht="18" customHeight="1">
      <c r="A13" s="174"/>
      <c r="B13" s="35" t="s">
        <v>185</v>
      </c>
      <c r="C13" s="30"/>
      <c r="D13" s="30">
        <v>58.435897827148438</v>
      </c>
      <c r="E13" s="30">
        <v>56.849998474121094</v>
      </c>
      <c r="F13" s="30">
        <v>52.012500762939453</v>
      </c>
      <c r="G13" s="30">
        <v>53.639533996582031</v>
      </c>
      <c r="H13" s="30">
        <v>52.439559936523438</v>
      </c>
      <c r="I13" s="30">
        <v>53.073684692382813</v>
      </c>
      <c r="J13" s="30">
        <v>53.684783935546875</v>
      </c>
      <c r="K13" s="30">
        <v>56.813186645507813</v>
      </c>
      <c r="L13" s="30">
        <v>55.61224365234375</v>
      </c>
      <c r="M13" s="30">
        <v>57.847618103027344</v>
      </c>
      <c r="N13" s="30">
        <v>58.844036102294922</v>
      </c>
      <c r="O13" s="28">
        <f t="shared" si="0"/>
        <v>6.984375877200427E-3</v>
      </c>
      <c r="P13" s="28">
        <f t="shared" si="1"/>
        <v>9.6102690344105055E-2</v>
      </c>
      <c r="Q13" s="206"/>
    </row>
    <row r="14" spans="1:17" ht="18" customHeight="1">
      <c r="A14" s="174"/>
      <c r="B14" s="35" t="s">
        <v>186</v>
      </c>
      <c r="C14" s="30"/>
      <c r="D14" s="30">
        <v>187.69357299804688</v>
      </c>
      <c r="E14" s="30">
        <v>189.06503295898438</v>
      </c>
      <c r="F14" s="30">
        <v>180.41061401367188</v>
      </c>
      <c r="G14" s="30">
        <v>181.93136596679688</v>
      </c>
      <c r="H14" s="30">
        <v>181.59782409667969</v>
      </c>
      <c r="I14" s="30">
        <v>183.50254821777344</v>
      </c>
      <c r="J14" s="30">
        <v>185.62451171875</v>
      </c>
      <c r="K14" s="30">
        <v>190.19172668457031</v>
      </c>
      <c r="L14" s="30">
        <v>190.30389404296875</v>
      </c>
      <c r="M14" s="30">
        <v>191.37461853027344</v>
      </c>
      <c r="N14" s="30">
        <v>191.17436218261719</v>
      </c>
      <c r="O14" s="28">
        <f t="shared" si="0"/>
        <v>1.8545063259073517E-2</v>
      </c>
      <c r="P14" s="28">
        <f t="shared" si="1"/>
        <v>2.9898262963654682E-2</v>
      </c>
      <c r="Q14" s="206"/>
    </row>
    <row r="15" spans="1:17" ht="18" customHeight="1">
      <c r="A15" s="174"/>
      <c r="B15" s="35" t="s">
        <v>187</v>
      </c>
      <c r="C15" s="31"/>
      <c r="D15" s="31">
        <v>218.71286010742188</v>
      </c>
      <c r="E15" s="31">
        <v>220.21820068359375</v>
      </c>
      <c r="F15" s="31">
        <v>220.98088073730469</v>
      </c>
      <c r="G15" s="31">
        <v>225.40939331054688</v>
      </c>
      <c r="H15" s="31">
        <v>259.3201904296875</v>
      </c>
      <c r="I15" s="31">
        <v>243.45817565917969</v>
      </c>
      <c r="J15" s="31">
        <v>268.920654296875</v>
      </c>
      <c r="K15" s="31">
        <v>269.47882080078125</v>
      </c>
      <c r="L15" s="31">
        <v>268.0076904296875</v>
      </c>
      <c r="M15" s="31">
        <v>235.52511596679688</v>
      </c>
      <c r="N15" s="31">
        <v>214.27531433105469</v>
      </c>
      <c r="O15" s="28">
        <f t="shared" si="0"/>
        <v>-2.0289368326067637E-2</v>
      </c>
      <c r="P15" s="28">
        <f t="shared" si="1"/>
        <v>-0.20320246545843437</v>
      </c>
      <c r="Q15" s="206"/>
    </row>
    <row r="16" spans="1:17" ht="18" customHeight="1">
      <c r="A16" s="174"/>
      <c r="B16" s="35" t="s">
        <v>193</v>
      </c>
      <c r="C16" s="31"/>
      <c r="D16" s="31">
        <f ca="1">379.36321875*OFFSET(D$112,MATCH($N$1,$C$112:$C$113,0)-1,0)</f>
        <v>379.36321874999999</v>
      </c>
      <c r="E16" s="31">
        <f ca="1">382.22103125*OFFSET(E$112,MATCH($N$1,$C$112:$C$113,0)-1,0)</f>
        <v>382.22103125000001</v>
      </c>
      <c r="F16" s="31">
        <f ca="1">376.64546875*OFFSET(F$112,MATCH($N$1,$C$112:$C$113,0)-1,0)</f>
        <v>376.64546875000002</v>
      </c>
      <c r="G16" s="31">
        <f ca="1">411.35784375*OFFSET(G$112,MATCH($N$1,$C$112:$C$113,0)-1,0)</f>
        <v>411.35784374999997</v>
      </c>
      <c r="H16" s="31">
        <f ca="1">461.21184375*OFFSET(H$112,MATCH($N$1,$C$112:$C$113,0)-1,0)</f>
        <v>461.21184375000001</v>
      </c>
      <c r="I16" s="31">
        <f ca="1">428.0910625*OFFSET(I$112,MATCH($N$1,$C$112:$C$113,0)-1,0)</f>
        <v>428.09106250000002</v>
      </c>
      <c r="J16" s="31">
        <f ca="1">495.8438125*OFFSET(J$112,MATCH($N$1,$C$112:$C$113,0)-1,0)</f>
        <v>495.84381250000001</v>
      </c>
      <c r="K16" s="31">
        <f ca="1">557.2531875*OFFSET(K$112,MATCH($N$1,$C$112:$C$113,0)-1,0)</f>
        <v>557.25318749999997</v>
      </c>
      <c r="L16" s="31">
        <f ca="1">618.8820625*OFFSET(L$112,MATCH($N$1,$C$112:$C$113,0)-1,0)</f>
        <v>618.88206249999996</v>
      </c>
      <c r="M16" s="31">
        <f ca="1">576.6875625*OFFSET(M$112,MATCH($N$1,$C$112:$C$113,0)-1,0)</f>
        <v>576.68756250000001</v>
      </c>
      <c r="N16" s="31">
        <v>406.97628125</v>
      </c>
      <c r="O16" s="28">
        <f t="shared" ca="1" si="0"/>
        <v>7.2787927598740129E-2</v>
      </c>
      <c r="P16" s="28">
        <f t="shared" ca="1" si="1"/>
        <v>-0.17922484663454383</v>
      </c>
      <c r="Q16" s="206"/>
    </row>
    <row r="17" spans="1:16" ht="18" customHeight="1">
      <c r="A17" s="174"/>
      <c r="B17" s="35" t="s">
        <v>189</v>
      </c>
      <c r="C17" s="30"/>
      <c r="D17" s="30">
        <v>192.26922607421875</v>
      </c>
      <c r="E17" s="30">
        <v>175.83749389648438</v>
      </c>
      <c r="F17" s="30">
        <v>174.82499694824219</v>
      </c>
      <c r="G17" s="30">
        <v>170.30232238769531</v>
      </c>
      <c r="H17" s="30">
        <v>176.17582702636719</v>
      </c>
      <c r="I17" s="30">
        <v>171.12631225585938</v>
      </c>
      <c r="J17" s="30">
        <v>183.31521606445313</v>
      </c>
      <c r="K17" s="30">
        <v>192.29670715332031</v>
      </c>
      <c r="L17" s="30">
        <v>185.81632995605469</v>
      </c>
      <c r="M17" s="30">
        <v>188.5238037109375</v>
      </c>
      <c r="N17" s="30">
        <v>176.11009216308594</v>
      </c>
      <c r="O17" s="28">
        <f t="shared" si="0"/>
        <v>-8.4044307251203834E-2</v>
      </c>
      <c r="P17" s="28">
        <f t="shared" si="1"/>
        <v>-3.9304559959899267E-2</v>
      </c>
    </row>
    <row r="18" spans="1:16" ht="18" customHeight="1">
      <c r="A18" s="174"/>
      <c r="B18" s="35" t="s">
        <v>194</v>
      </c>
      <c r="C18" s="30"/>
      <c r="D18" s="30">
        <v>26.910257339477539</v>
      </c>
      <c r="E18" s="30">
        <v>26.600000381469727</v>
      </c>
      <c r="F18" s="30">
        <v>27.387500762939453</v>
      </c>
      <c r="G18" s="30">
        <v>28.511627197265625</v>
      </c>
      <c r="H18" s="30">
        <v>29.681318283081055</v>
      </c>
      <c r="I18" s="30">
        <v>29.347368240356445</v>
      </c>
      <c r="J18" s="30">
        <v>28.663043975830078</v>
      </c>
      <c r="K18" s="30">
        <v>29.186813354492188</v>
      </c>
      <c r="L18" s="30">
        <v>29.26530647277832</v>
      </c>
      <c r="M18" s="30">
        <v>29.238094329833984</v>
      </c>
      <c r="N18" s="30">
        <v>28</v>
      </c>
      <c r="O18" s="28">
        <f t="shared" si="0"/>
        <v>4.0495438106561719E-2</v>
      </c>
      <c r="P18" s="28">
        <f t="shared" si="1"/>
        <v>-2.3132364322128018E-2</v>
      </c>
    </row>
    <row r="19" spans="1:16" ht="18" customHeight="1">
      <c r="A19" s="174"/>
      <c r="B19" s="35" t="s">
        <v>195</v>
      </c>
      <c r="C19" s="36"/>
      <c r="D19" s="36">
        <v>1.1375343799591064</v>
      </c>
      <c r="E19" s="36">
        <v>1.2523961067199707</v>
      </c>
      <c r="F19" s="36">
        <v>1.2640119791030884</v>
      </c>
      <c r="G19" s="36">
        <v>1.3235838413238525</v>
      </c>
      <c r="H19" s="36">
        <v>1.4719396829605103</v>
      </c>
      <c r="I19" s="36">
        <v>1.4226810932159424</v>
      </c>
      <c r="J19" s="36">
        <v>1.4669848680496216</v>
      </c>
      <c r="K19" s="36">
        <v>1.4013699293136597</v>
      </c>
      <c r="L19" s="36">
        <v>1.4423258304595947</v>
      </c>
      <c r="M19" s="36">
        <v>1.2493124008178711</v>
      </c>
      <c r="N19" s="36">
        <v>1.2167122364044189</v>
      </c>
      <c r="O19" s="28">
        <f t="shared" si="0"/>
        <v>6.9604803019807537E-2</v>
      </c>
      <c r="P19" s="28">
        <f t="shared" si="1"/>
        <v>-0.17060341731946005</v>
      </c>
    </row>
    <row r="20" spans="1:16" ht="18" customHeight="1">
      <c r="A20" s="175"/>
      <c r="B20" s="37" t="s">
        <v>196</v>
      </c>
      <c r="C20" s="38"/>
      <c r="D20" s="38">
        <f ca="1">1735*OFFSET(D$112,MATCH($N$1,$C$112:$C$113,0)-1,0)</f>
        <v>1735</v>
      </c>
      <c r="E20" s="38">
        <f ca="1">1736*OFFSET(E$112,MATCH($N$1,$C$112:$C$113,0)-1,0)</f>
        <v>1736</v>
      </c>
      <c r="F20" s="38">
        <f ca="1">1704*OFFSET(F$112,MATCH($N$1,$C$112:$C$113,0)-1,0)</f>
        <v>1704</v>
      </c>
      <c r="G20" s="38">
        <f ca="1">1825*OFFSET(G$112,MATCH($N$1,$C$112:$C$113,0)-1,0)</f>
        <v>1825</v>
      </c>
      <c r="H20" s="38">
        <f ca="1">1779*OFFSET(H$112,MATCH($N$1,$C$112:$C$113,0)-1,0)</f>
        <v>1779</v>
      </c>
      <c r="I20" s="38">
        <f ca="1">1758*OFFSET(I$112,MATCH($N$1,$C$112:$C$113,0)-1,0)</f>
        <v>1758</v>
      </c>
      <c r="J20" s="38">
        <f ca="1">1844*OFFSET(J$112,MATCH($N$1,$C$112:$C$113,0)-1,0)</f>
        <v>1844</v>
      </c>
      <c r="K20" s="38">
        <f ca="1">2068*OFFSET(K$112,MATCH($N$1,$C$112:$C$113,0)-1,0)</f>
        <v>2068</v>
      </c>
      <c r="L20" s="38">
        <f ca="1">2309*OFFSET(L$112,MATCH($N$1,$C$112:$C$113,0)-1,0)</f>
        <v>2309</v>
      </c>
      <c r="M20" s="38">
        <f ca="1">2449*OFFSET(M$112,MATCH($N$1,$C$112:$C$113,0)-1,0)</f>
        <v>2449</v>
      </c>
      <c r="N20" s="38">
        <v>1899</v>
      </c>
      <c r="O20" s="32">
        <f t="shared" ca="1" si="0"/>
        <v>9.4524495677233436E-2</v>
      </c>
      <c r="P20" s="32">
        <f t="shared" ca="1" si="1"/>
        <v>2.9826464208242951E-2</v>
      </c>
    </row>
    <row r="21" spans="1:16" ht="18" customHeight="1">
      <c r="A21" s="176" t="s">
        <v>197</v>
      </c>
      <c r="B21" s="33" t="s">
        <v>198</v>
      </c>
      <c r="C21" s="39"/>
      <c r="D21" s="39">
        <v>4.8019862490213221</v>
      </c>
      <c r="E21" s="39">
        <v>5.1660458075348066</v>
      </c>
      <c r="F21" s="39">
        <v>5.430499599920056</v>
      </c>
      <c r="G21" s="39">
        <v>5.6415424518585287</v>
      </c>
      <c r="H21" s="39">
        <v>6.2666534463306274</v>
      </c>
      <c r="I21" s="39">
        <v>5.9638409662085046</v>
      </c>
      <c r="J21" s="39">
        <v>5.9470561964116566</v>
      </c>
      <c r="K21" s="39">
        <v>5.7305747119514452</v>
      </c>
      <c r="L21" s="39">
        <v>5.8102050272481041</v>
      </c>
      <c r="M21" s="39">
        <v>5.0689963971070595</v>
      </c>
      <c r="N21" s="39">
        <v>4.8496326001614873</v>
      </c>
      <c r="O21" s="28">
        <f t="shared" si="0"/>
        <v>9.9222173220250062E-3</v>
      </c>
      <c r="P21" s="28">
        <f t="shared" si="1"/>
        <v>-0.18453223914587091</v>
      </c>
    </row>
    <row r="22" spans="1:16" ht="18" customHeight="1">
      <c r="A22" s="176"/>
      <c r="B22" s="35" t="s">
        <v>199</v>
      </c>
      <c r="C22" s="36"/>
      <c r="D22" s="36">
        <f ca="1">8.32917167708946*OFFSET(D$112,MATCH($N$1,$C$112:$C$113,0)-1,0)</f>
        <v>8.3291716770894606</v>
      </c>
      <c r="E22" s="36">
        <f ca="1">8.96643124824059*OFFSET(E$112,MATCH($N$1,$C$112:$C$113,0)-1,0)</f>
        <v>8.9664312482405908</v>
      </c>
      <c r="F22" s="36">
        <f ca="1">9.2558825022969*OFFSET(F$112,MATCH($N$1,$C$112:$C$113,0)-1,0)</f>
        <v>9.2558825022969007</v>
      </c>
      <c r="G22" s="36">
        <f ca="1">10.2954570984688*OFFSET(G$112,MATCH($N$1,$C$112:$C$113,0)-1,0)</f>
        <v>10.2954570984688</v>
      </c>
      <c r="H22" s="36">
        <f ca="1">11.1455061996343*OFFSET(H$112,MATCH($N$1,$C$112:$C$113,0)-1,0)</f>
        <v>11.145506199634299</v>
      </c>
      <c r="I22" s="36">
        <f ca="1">10.4866760333376*OFFSET(I$112,MATCH($N$1,$C$112:$C$113,0)-1,0)</f>
        <v>10.4866760333376</v>
      </c>
      <c r="J22" s="36">
        <f ca="1">10.9653571433199*OFFSET(J$112,MATCH($N$1,$C$112:$C$113,0)-1,0)</f>
        <v>10.965357143319901</v>
      </c>
      <c r="K22" s="36">
        <f ca="1">11.8502115118079*OFFSET(K$112,MATCH($N$1,$C$112:$C$113,0)-1,0)</f>
        <v>11.850211511807901</v>
      </c>
      <c r="L22" s="36">
        <f ca="1">13.4168973474086*OFFSET(L$112,MATCH($N$1,$C$112:$C$113,0)-1,0)</f>
        <v>13.4168973474086</v>
      </c>
      <c r="M22" s="36">
        <f ca="1">12.4115305689142*OFFSET(M$112,MATCH($N$1,$C$112:$C$113,0)-1,0)</f>
        <v>12.4115305689142</v>
      </c>
      <c r="N22" s="36">
        <v>9.210979095768133</v>
      </c>
      <c r="O22" s="28">
        <f t="shared" ca="1" si="0"/>
        <v>0.10586976146790271</v>
      </c>
      <c r="P22" s="28">
        <f t="shared" ca="1" si="1"/>
        <v>-0.1599927867940476</v>
      </c>
    </row>
    <row r="23" spans="1:16" ht="18" customHeight="1">
      <c r="A23" s="176"/>
      <c r="B23" s="35" t="s">
        <v>154</v>
      </c>
      <c r="C23" s="36"/>
      <c r="D23" s="36">
        <f ca="1">7.34542145806884*OFFSET(D$112,MATCH($N$1,$C$112:$C$113,0)-1,0)</f>
        <v>7.3454214580688397</v>
      </c>
      <c r="E23" s="36">
        <f ca="1">8.66337990507999*OFFSET(E$112,MATCH($N$1,$C$112:$C$113,0)-1,0)</f>
        <v>8.6633799050799905</v>
      </c>
      <c r="F23" s="36">
        <f ca="1">8.53617585681808*OFFSET(F$112,MATCH($N$1,$C$112:$C$113,0)-1,0)</f>
        <v>8.5361758568180797</v>
      </c>
      <c r="G23" s="36">
        <f ca="1">9.05451089797568*OFFSET(G$112,MATCH($N$1,$C$112:$C$113,0)-1,0)</f>
        <v>9.0545108979756801</v>
      </c>
      <c r="H23" s="36">
        <f ca="1">9.33370091625755*OFFSET(H$112,MATCH($N$1,$C$112:$C$113,0)-1,0)</f>
        <v>9.3337009162575502</v>
      </c>
      <c r="I23" s="36">
        <f ca="1">8.59540507470962*OFFSET(I$112,MATCH($N$1,$C$112:$C$113,0)-1,0)</f>
        <v>8.5954050747096193</v>
      </c>
      <c r="J23" s="36">
        <f ca="1">8.61403519494268*OFFSET(J$112,MATCH($N$1,$C$112:$C$113,0)-1,0)</f>
        <v>8.6140351949426801</v>
      </c>
      <c r="K23" s="36">
        <f ca="1">9.93259732346707*OFFSET(K$112,MATCH($N$1,$C$112:$C$113,0)-1,0)</f>
        <v>9.9325973234670695</v>
      </c>
      <c r="L23" s="36">
        <f ca="1">10.6983672308691*OFFSET(L$112,MATCH($N$1,$C$112:$C$113,0)-1,0)</f>
        <v>10.698367230869099</v>
      </c>
      <c r="M23" s="36">
        <f ca="1">9.86172950967347*OFFSET(M$112,MATCH($N$1,$C$112:$C$113,0)-1,0)</f>
        <v>9.8617295096734701</v>
      </c>
      <c r="N23" s="36">
        <v>7.848462685943022</v>
      </c>
      <c r="O23" s="28">
        <f t="shared" ca="1" si="0"/>
        <v>6.8483643960497151E-2</v>
      </c>
      <c r="P23" s="28">
        <f t="shared" ca="1" si="1"/>
        <v>-8.8875015213442307E-2</v>
      </c>
    </row>
    <row r="24" spans="1:16" ht="18" customHeight="1">
      <c r="A24" s="176"/>
      <c r="B24" s="35" t="s">
        <v>155</v>
      </c>
      <c r="C24" s="36"/>
      <c r="D24" s="36">
        <f ca="1">1.04777226761108*OFFSET(D$112,MATCH($N$1,$C$112:$C$113,0)-1,0)</f>
        <v>1.0477722676110801</v>
      </c>
      <c r="E24" s="36">
        <f ca="1">0.829505493015154*OFFSET(E$112,MATCH($N$1,$C$112:$C$113,0)-1,0)</f>
        <v>0.82950549301515397</v>
      </c>
      <c r="F24" s="36">
        <f ca="1">2.02921008365609*OFFSET(F$112,MATCH($N$1,$C$112:$C$113,0)-1,0)</f>
        <v>2.02921008365609</v>
      </c>
      <c r="G24" s="36">
        <f ca="1">1.87436148091748*OFFSET(G$112,MATCH($N$1,$C$112:$C$113,0)-1,0)</f>
        <v>1.87436148091748</v>
      </c>
      <c r="H24" s="36">
        <f ca="1">2.37841500961719*OFFSET(H$112,MATCH($N$1,$C$112:$C$113,0)-1,0)</f>
        <v>2.3784150096171901</v>
      </c>
      <c r="I24" s="36">
        <f ca="1">2.45024323649071*OFFSET(I$112,MATCH($N$1,$C$112:$C$113,0)-1,0)</f>
        <v>2.4502432364907101</v>
      </c>
      <c r="J24" s="36">
        <f ca="1">2.5879220928992*OFFSET(J$112,MATCH($N$1,$C$112:$C$113,0)-1,0)</f>
        <v>2.5879220928992002</v>
      </c>
      <c r="K24" s="36">
        <f ca="1">3.47568098080009*OFFSET(K$112,MATCH($N$1,$C$112:$C$113,0)-1,0)</f>
        <v>3.4756809808000901</v>
      </c>
      <c r="L24" s="36">
        <f ca="1">3.11878330643752*OFFSET(L$112,MATCH($N$1,$C$112:$C$113,0)-1,0)</f>
        <v>3.1187833064375199</v>
      </c>
      <c r="M24" s="36">
        <f ca="1">2.94009817947368*OFFSET(M$112,MATCH($N$1,$C$112:$C$113,0)-1,0)</f>
        <v>2.9400981794736798</v>
      </c>
      <c r="N24" s="36">
        <v>1.8632105092900673</v>
      </c>
      <c r="O24" s="28">
        <f t="shared" ca="1" si="0"/>
        <v>0.77825904243312882</v>
      </c>
      <c r="P24" s="28">
        <f t="shared" ca="1" si="1"/>
        <v>-0.28003608980255362</v>
      </c>
    </row>
    <row r="25" spans="1:16" ht="18" customHeight="1">
      <c r="A25" s="176"/>
      <c r="B25" s="35" t="s">
        <v>200</v>
      </c>
      <c r="C25" s="31"/>
      <c r="D25" s="31">
        <f ca="1">55.19*OFFSET(D$112,MATCH($N$1,$C$112:$C$113,0)-1,0)</f>
        <v>55.19</v>
      </c>
      <c r="E25" s="31">
        <f ca="1">52.85*OFFSET(E$112,MATCH($N$1,$C$112:$C$113,0)-1,0)</f>
        <v>52.85</v>
      </c>
      <c r="F25" s="31">
        <f ca="1">68.69*OFFSET(F$112,MATCH($N$1,$C$112:$C$113,0)-1,0)</f>
        <v>68.69</v>
      </c>
      <c r="G25" s="31">
        <f ca="1">67.73*OFFSET(G$112,MATCH($N$1,$C$112:$C$113,0)-1,0)</f>
        <v>67.73</v>
      </c>
      <c r="H25" s="31">
        <f ca="1">75.67*OFFSET(H$112,MATCH($N$1,$C$112:$C$113,0)-1,0)</f>
        <v>75.67</v>
      </c>
      <c r="I25" s="31">
        <f ca="1">78.48*OFFSET(I$112,MATCH($N$1,$C$112:$C$113,0)-1,0)</f>
        <v>78.48</v>
      </c>
      <c r="J25" s="31">
        <f ca="1">67.33*OFFSET(J$112,MATCH($N$1,$C$112:$C$113,0)-1,0)</f>
        <v>67.33</v>
      </c>
      <c r="K25" s="31">
        <f ca="1">82.19*OFFSET(K$112,MATCH($N$1,$C$112:$C$113,0)-1,0)</f>
        <v>82.19</v>
      </c>
      <c r="L25" s="31">
        <f ca="1">72.45*OFFSET(L$112,MATCH($N$1,$C$112:$C$113,0)-1,0)</f>
        <v>72.45</v>
      </c>
      <c r="M25" s="31">
        <f ca="1">85.26*OFFSET(M$112,MATCH($N$1,$C$112:$C$113,0)-1,0)</f>
        <v>85.26</v>
      </c>
      <c r="N25" s="31">
        <v>64.31</v>
      </c>
      <c r="O25" s="28">
        <f t="shared" ca="1" si="0"/>
        <v>0.16524732741438675</v>
      </c>
      <c r="P25" s="28">
        <f t="shared" ca="1" si="1"/>
        <v>-4.4853705628991478E-2</v>
      </c>
    </row>
    <row r="26" spans="1:16" ht="18" customHeight="1">
      <c r="A26" s="177"/>
      <c r="B26" s="35" t="s">
        <v>201</v>
      </c>
      <c r="C26" s="31"/>
      <c r="D26" s="31">
        <f ca="1">6.94*OFFSET(D$112,MATCH($N$1,$C$112:$C$113,0)-1,0)</f>
        <v>6.94</v>
      </c>
      <c r="E26" s="31">
        <f ca="1">4.89*OFFSET(E$112,MATCH($N$1,$C$112:$C$113,0)-1,0)</f>
        <v>4.8899999999999997</v>
      </c>
      <c r="F26" s="31">
        <f ca="1">15.07*OFFSET(F$112,MATCH($N$1,$C$112:$C$113,0)-1,0)</f>
        <v>15.07</v>
      </c>
      <c r="G26" s="31">
        <f ca="1">12.33*OFFSET(G$112,MATCH($N$1,$C$112:$C$113,0)-1,0)</f>
        <v>12.33</v>
      </c>
      <c r="H26" s="31">
        <f ca="1">16.14*OFFSET(H$112,MATCH($N$1,$C$112:$C$113,0)-1,0)</f>
        <v>16.14</v>
      </c>
      <c r="I26" s="31">
        <f ca="1">18.33*OFFSET(I$112,MATCH($N$1,$C$112:$C$113,0)-1,0)</f>
        <v>18.329999999999998</v>
      </c>
      <c r="J26" s="31">
        <f ca="1">15.89*OFFSET(J$112,MATCH($N$1,$C$112:$C$113,0)-1,0)</f>
        <v>15.89</v>
      </c>
      <c r="K26" s="31">
        <f ca="1">24.1*OFFSET(K$112,MATCH($N$1,$C$112:$C$113,0)-1,0)</f>
        <v>24.1</v>
      </c>
      <c r="L26" s="31">
        <f ca="1">16.85*OFFSET(L$112,MATCH($N$1,$C$112:$C$113,0)-1,0)</f>
        <v>16.850000000000001</v>
      </c>
      <c r="M26" s="31">
        <f ca="1">20.2*OFFSET(M$112,MATCH($N$1,$C$112:$C$113,0)-1,0)</f>
        <v>20.2</v>
      </c>
      <c r="N26" s="31">
        <v>13</v>
      </c>
      <c r="O26" s="32">
        <f t="shared" ca="1" si="0"/>
        <v>0.87319884726224772</v>
      </c>
      <c r="P26" s="32">
        <f t="shared" ca="1" si="1"/>
        <v>-0.18187539332913785</v>
      </c>
    </row>
    <row r="27" spans="1:16" ht="18" customHeight="1">
      <c r="A27" s="166" t="s">
        <v>202</v>
      </c>
      <c r="B27" s="33" t="s">
        <v>193</v>
      </c>
      <c r="C27" s="34"/>
      <c r="D27" s="34">
        <f ca="1">379.4*OFFSET(D$112,MATCH($N$1,$C$112:$C$113,0)-1,0)</f>
        <v>379.4</v>
      </c>
      <c r="E27" s="34">
        <f ca="1">382.2*OFFSET(E$112,MATCH($N$1,$C$112:$C$113,0)-1,0)</f>
        <v>382.2</v>
      </c>
      <c r="F27" s="34">
        <f ca="1">376.6*OFFSET(F$112,MATCH($N$1,$C$112:$C$113,0)-1,0)</f>
        <v>376.6</v>
      </c>
      <c r="G27" s="34">
        <f ca="1">411.4*OFFSET(G$112,MATCH($N$1,$C$112:$C$113,0)-1,0)</f>
        <v>411.4</v>
      </c>
      <c r="H27" s="34">
        <f ca="1">461.2*OFFSET(H$112,MATCH($N$1,$C$112:$C$113,0)-1,0)</f>
        <v>461.2</v>
      </c>
      <c r="I27" s="34">
        <f ca="1">428.1*OFFSET(I$112,MATCH($N$1,$C$112:$C$113,0)-1,0)</f>
        <v>428.1</v>
      </c>
      <c r="J27" s="34">
        <f ca="1">495.8*OFFSET(J$112,MATCH($N$1,$C$112:$C$113,0)-1,0)</f>
        <v>495.8</v>
      </c>
      <c r="K27" s="34">
        <f ca="1">557.3*OFFSET(K$112,MATCH($N$1,$C$112:$C$113,0)-1,0)</f>
        <v>557.29999999999995</v>
      </c>
      <c r="L27" s="34">
        <f ca="1">618.9*OFFSET(L$112,MATCH($N$1,$C$112:$C$113,0)-1,0)</f>
        <v>618.9</v>
      </c>
      <c r="M27" s="34">
        <f ca="1">576.7*OFFSET(M$112,MATCH($N$1,$C$112:$C$113,0)-1,0)</f>
        <v>576.70000000000005</v>
      </c>
      <c r="N27" s="34">
        <v>407</v>
      </c>
      <c r="O27" s="28">
        <f t="shared" ca="1" si="0"/>
        <v>7.2746441750131854E-2</v>
      </c>
      <c r="P27" s="28">
        <f t="shared" ca="1" si="1"/>
        <v>-0.17910447761194032</v>
      </c>
    </row>
    <row r="28" spans="1:16" ht="18" customHeight="1">
      <c r="A28" s="178"/>
      <c r="B28" s="35" t="s">
        <v>203</v>
      </c>
      <c r="C28" s="31"/>
      <c r="D28" s="31">
        <f ca="1">2.9*OFFSET(D$112,MATCH($N$1,$C$112:$C$113,0)-1,0)</f>
        <v>2.9</v>
      </c>
      <c r="E28" s="31">
        <f ca="1">22.4*OFFSET(E$112,MATCH($N$1,$C$112:$C$113,0)-1,0)</f>
        <v>22.4</v>
      </c>
      <c r="F28" s="31">
        <f ca="1">53.3*OFFSET(F$112,MATCH($N$1,$C$112:$C$113,0)-1,0)</f>
        <v>53.3</v>
      </c>
      <c r="G28" s="31">
        <f ca="1">25.3*OFFSET(G$112,MATCH($N$1,$C$112:$C$113,0)-1,0)</f>
        <v>25.3</v>
      </c>
      <c r="H28" s="31">
        <f ca="1">23.4*OFFSET(H$112,MATCH($N$1,$C$112:$C$113,0)-1,0)</f>
        <v>23.4</v>
      </c>
      <c r="I28" s="31">
        <f ca="1">22.8*OFFSET(I$112,MATCH($N$1,$C$112:$C$113,0)-1,0)</f>
        <v>22.8</v>
      </c>
      <c r="J28" s="31">
        <f ca="1">10.7*OFFSET(J$112,MATCH($N$1,$C$112:$C$113,0)-1,0)</f>
        <v>10.7</v>
      </c>
      <c r="K28" s="31">
        <f ca="1">73.3*OFFSET(K$112,MATCH($N$1,$C$112:$C$113,0)-1,0)</f>
        <v>73.3</v>
      </c>
      <c r="L28" s="31">
        <f ca="1">18.5*OFFSET(L$112,MATCH($N$1,$C$112:$C$113,0)-1,0)</f>
        <v>18.5</v>
      </c>
      <c r="M28" s="31">
        <f ca="1">18.1*OFFSET(M$112,MATCH($N$1,$C$112:$C$113,0)-1,0)</f>
        <v>18.100000000000001</v>
      </c>
      <c r="N28" s="31">
        <v>22.1</v>
      </c>
      <c r="O28" s="28">
        <f t="shared" ca="1" si="0"/>
        <v>6.6206896551724146</v>
      </c>
      <c r="P28" s="28">
        <f t="shared" ca="1" si="1"/>
        <v>1.0654205607476639</v>
      </c>
    </row>
    <row r="29" spans="1:16" ht="18" customHeight="1">
      <c r="A29" s="178"/>
      <c r="B29" s="40" t="s">
        <v>204</v>
      </c>
      <c r="C29" s="41"/>
      <c r="D29" s="41">
        <f ca="1">382.3*OFFSET(D$112,MATCH($N$1,$C$112:$C$113,0)-1,0)</f>
        <v>382.3</v>
      </c>
      <c r="E29" s="41">
        <f ca="1">404.7*OFFSET(E$112,MATCH($N$1,$C$112:$C$113,0)-1,0)</f>
        <v>404.7</v>
      </c>
      <c r="F29" s="41">
        <f ca="1">429.9*OFFSET(F$112,MATCH($N$1,$C$112:$C$113,0)-1,0)</f>
        <v>429.9</v>
      </c>
      <c r="G29" s="41">
        <f ca="1">436.7*OFFSET(G$112,MATCH($N$1,$C$112:$C$113,0)-1,0)</f>
        <v>436.7</v>
      </c>
      <c r="H29" s="41">
        <f ca="1">484.7*OFFSET(H$112,MATCH($N$1,$C$112:$C$113,0)-1,0)</f>
        <v>484.7</v>
      </c>
      <c r="I29" s="41">
        <f ca="1">450.9*OFFSET(I$112,MATCH($N$1,$C$112:$C$113,0)-1,0)</f>
        <v>450.9</v>
      </c>
      <c r="J29" s="41">
        <f ca="1">506.5*OFFSET(J$112,MATCH($N$1,$C$112:$C$113,0)-1,0)</f>
        <v>506.5</v>
      </c>
      <c r="K29" s="41">
        <f ca="1">630.5*OFFSET(K$112,MATCH($N$1,$C$112:$C$113,0)-1,0)</f>
        <v>630.5</v>
      </c>
      <c r="L29" s="41">
        <f ca="1">637.3*OFFSET(L$112,MATCH($N$1,$C$112:$C$113,0)-1,0)</f>
        <v>637.29999999999995</v>
      </c>
      <c r="M29" s="41">
        <f ca="1">594.8*OFFSET(M$112,MATCH($N$1,$C$112:$C$113,0)-1,0)</f>
        <v>594.79999999999995</v>
      </c>
      <c r="N29" s="41">
        <v>429.1</v>
      </c>
      <c r="O29" s="28">
        <f t="shared" ca="1" si="0"/>
        <v>0.12241695003923622</v>
      </c>
      <c r="P29" s="28">
        <f t="shared" ca="1" si="1"/>
        <v>-0.1528134254689042</v>
      </c>
    </row>
    <row r="30" spans="1:16" ht="18" customHeight="1">
      <c r="A30" s="178"/>
      <c r="B30" s="35" t="s">
        <v>205</v>
      </c>
      <c r="C30" s="31"/>
      <c r="D30" s="31">
        <f ca="1">62.2*OFFSET(D$112,MATCH($N$1,$C$112:$C$113,0)-1,0)</f>
        <v>62.2</v>
      </c>
      <c r="E30" s="31">
        <f ca="1">73.9*OFFSET(E$112,MATCH($N$1,$C$112:$C$113,0)-1,0)</f>
        <v>73.900000000000006</v>
      </c>
      <c r="F30" s="31">
        <f ca="1">73.3*OFFSET(F$112,MATCH($N$1,$C$112:$C$113,0)-1,0)</f>
        <v>73.3</v>
      </c>
      <c r="G30" s="31">
        <f ca="1">69.2*OFFSET(G$112,MATCH($N$1,$C$112:$C$113,0)-1,0)</f>
        <v>69.2</v>
      </c>
      <c r="H30" s="31">
        <f ca="1">64*OFFSET(H$112,MATCH($N$1,$C$112:$C$113,0)-1,0)</f>
        <v>64</v>
      </c>
      <c r="I30" s="31">
        <f ca="1">43.7*OFFSET(I$112,MATCH($N$1,$C$112:$C$113,0)-1,0)</f>
        <v>43.7</v>
      </c>
      <c r="J30" s="31">
        <f ca="1">44.8*OFFSET(J$112,MATCH($N$1,$C$112:$C$113,0)-1,0)</f>
        <v>44.8</v>
      </c>
      <c r="K30" s="31">
        <f ca="1">56.4*OFFSET(K$112,MATCH($N$1,$C$112:$C$113,0)-1,0)</f>
        <v>56.4</v>
      </c>
      <c r="L30" s="31">
        <f ca="1">65.1*OFFSET(L$112,MATCH($N$1,$C$112:$C$113,0)-1,0)</f>
        <v>65.099999999999994</v>
      </c>
      <c r="M30" s="31">
        <f ca="1">63.2*OFFSET(M$112,MATCH($N$1,$C$112:$C$113,0)-1,0)</f>
        <v>63.2</v>
      </c>
      <c r="N30" s="31">
        <v>44.1</v>
      </c>
      <c r="O30" s="28">
        <f t="shared" ca="1" si="0"/>
        <v>-0.29099678456591643</v>
      </c>
      <c r="P30" s="28">
        <f t="shared" ca="1" si="1"/>
        <v>-1.5624999999999906E-2</v>
      </c>
    </row>
    <row r="31" spans="1:16" ht="18" customHeight="1">
      <c r="A31" s="178"/>
      <c r="B31" s="35" t="s">
        <v>206</v>
      </c>
      <c r="C31" s="31"/>
      <c r="D31" s="31">
        <f ca="1">107.1*OFFSET(D$112,MATCH($N$1,$C$112:$C$113,0)-1,0)</f>
        <v>107.1</v>
      </c>
      <c r="E31" s="31">
        <f ca="1">124.1*OFFSET(E$112,MATCH($N$1,$C$112:$C$113,0)-1,0)</f>
        <v>124.1</v>
      </c>
      <c r="F31" s="31">
        <f ca="1">121*OFFSET(F$112,MATCH($N$1,$C$112:$C$113,0)-1,0)</f>
        <v>121</v>
      </c>
      <c r="G31" s="31">
        <f ca="1">129.1*OFFSET(G$112,MATCH($N$1,$C$112:$C$113,0)-1,0)</f>
        <v>129.1</v>
      </c>
      <c r="H31" s="31">
        <f ca="1">135.6*OFFSET(H$112,MATCH($N$1,$C$112:$C$113,0)-1,0)</f>
        <v>135.6</v>
      </c>
      <c r="I31" s="31">
        <f ca="1">129.5*OFFSET(I$112,MATCH($N$1,$C$112:$C$113,0)-1,0)</f>
        <v>129.5</v>
      </c>
      <c r="J31" s="31">
        <f ca="1">158.3*OFFSET(J$112,MATCH($N$1,$C$112:$C$113,0)-1,0)</f>
        <v>158.30000000000001</v>
      </c>
      <c r="K31" s="31">
        <f ca="1">195.1*OFFSET(K$112,MATCH($N$1,$C$112:$C$113,0)-1,0)</f>
        <v>195.1</v>
      </c>
      <c r="L31" s="31">
        <f ca="1">195*OFFSET(L$112,MATCH($N$1,$C$112:$C$113,0)-1,0)</f>
        <v>195</v>
      </c>
      <c r="M31" s="31">
        <f ca="1">202*OFFSET(M$112,MATCH($N$1,$C$112:$C$113,0)-1,0)</f>
        <v>202</v>
      </c>
      <c r="N31" s="31">
        <v>142.80000000000001</v>
      </c>
      <c r="O31" s="28">
        <f t="shared" ca="1" si="0"/>
        <v>0.33333333333333354</v>
      </c>
      <c r="P31" s="28">
        <f t="shared" ca="1" si="1"/>
        <v>-9.7915350600126336E-2</v>
      </c>
    </row>
    <row r="32" spans="1:16" ht="18" customHeight="1">
      <c r="A32" s="178"/>
      <c r="B32" s="35" t="s">
        <v>207</v>
      </c>
      <c r="C32" s="31"/>
      <c r="D32" s="31">
        <f ca="1">81.4*OFFSET(D$112,MATCH($N$1,$C$112:$C$113,0)-1,0)</f>
        <v>81.400000000000006</v>
      </c>
      <c r="E32" s="31">
        <f ca="1">65.9*OFFSET(E$112,MATCH($N$1,$C$112:$C$113,0)-1,0)</f>
        <v>65.900000000000006</v>
      </c>
      <c r="F32" s="31">
        <f ca="1">66.5*OFFSET(F$112,MATCH($N$1,$C$112:$C$113,0)-1,0)</f>
        <v>66.5</v>
      </c>
      <c r="G32" s="31">
        <f ca="1">67.5*OFFSET(G$112,MATCH($N$1,$C$112:$C$113,0)-1,0)</f>
        <v>67.5</v>
      </c>
      <c r="H32" s="31">
        <f ca="1">72.8*OFFSET(H$112,MATCH($N$1,$C$112:$C$113,0)-1,0)</f>
        <v>72.8</v>
      </c>
      <c r="I32" s="31">
        <f ca="1">72.6*OFFSET(I$112,MATCH($N$1,$C$112:$C$113,0)-1,0)</f>
        <v>72.599999999999994</v>
      </c>
      <c r="J32" s="31">
        <f ca="1">84.5*OFFSET(J$112,MATCH($N$1,$C$112:$C$113,0)-1,0)</f>
        <v>84.5</v>
      </c>
      <c r="K32" s="31">
        <f ca="1">94.7*OFFSET(K$112,MATCH($N$1,$C$112:$C$113,0)-1,0)</f>
        <v>94.7</v>
      </c>
      <c r="L32" s="31">
        <f ca="1">100.5*OFFSET(L$112,MATCH($N$1,$C$112:$C$113,0)-1,0)</f>
        <v>100.5</v>
      </c>
      <c r="M32" s="31">
        <f ca="1">85.6*OFFSET(M$112,MATCH($N$1,$C$112:$C$113,0)-1,0)</f>
        <v>85.6</v>
      </c>
      <c r="N32" s="31">
        <v>60.4</v>
      </c>
      <c r="O32" s="28">
        <f t="shared" ca="1" si="0"/>
        <v>-0.25798525798525807</v>
      </c>
      <c r="P32" s="28">
        <f t="shared" ca="1" si="1"/>
        <v>-0.285207100591716</v>
      </c>
    </row>
    <row r="33" spans="1:16" ht="18" customHeight="1">
      <c r="A33" s="178"/>
      <c r="B33" s="35" t="s">
        <v>208</v>
      </c>
      <c r="C33" s="31"/>
      <c r="D33" s="31">
        <f ca="1">250.7*OFFSET(D$112,MATCH($N$1,$C$112:$C$113,0)-1,0)</f>
        <v>250.7</v>
      </c>
      <c r="E33" s="31">
        <f ca="1">263.9*OFFSET(E$112,MATCH($N$1,$C$112:$C$113,0)-1,0)</f>
        <v>263.89999999999998</v>
      </c>
      <c r="F33" s="31">
        <f ca="1">260.8*OFFSET(F$112,MATCH($N$1,$C$112:$C$113,0)-1,0)</f>
        <v>260.8</v>
      </c>
      <c r="G33" s="31">
        <f ca="1">265.8*OFFSET(G$112,MATCH($N$1,$C$112:$C$113,0)-1,0)</f>
        <v>265.8</v>
      </c>
      <c r="H33" s="31">
        <f ca="1">272.5*OFFSET(H$112,MATCH($N$1,$C$112:$C$113,0)-1,0)</f>
        <v>272.5</v>
      </c>
      <c r="I33" s="31">
        <f ca="1">245.7*OFFSET(I$112,MATCH($N$1,$C$112:$C$113,0)-1,0)</f>
        <v>245.7</v>
      </c>
      <c r="J33" s="31">
        <f ca="1">287.5*OFFSET(J$112,MATCH($N$1,$C$112:$C$113,0)-1,0)</f>
        <v>287.5</v>
      </c>
      <c r="K33" s="31">
        <f ca="1">346.2*OFFSET(K$112,MATCH($N$1,$C$112:$C$113,0)-1,0)</f>
        <v>346.2</v>
      </c>
      <c r="L33" s="31">
        <f ca="1">360.7*OFFSET(L$112,MATCH($N$1,$C$112:$C$113,0)-1,0)</f>
        <v>360.7</v>
      </c>
      <c r="M33" s="31">
        <f ca="1">350.8*OFFSET(M$112,MATCH($N$1,$C$112:$C$113,0)-1,0)</f>
        <v>350.8</v>
      </c>
      <c r="N33" s="31">
        <v>247.3</v>
      </c>
      <c r="O33" s="28">
        <f t="shared" ca="1" si="0"/>
        <v>-1.3562026326286308E-2</v>
      </c>
      <c r="P33" s="28">
        <f t="shared" ca="1" si="1"/>
        <v>-0.13982608695652171</v>
      </c>
    </row>
    <row r="34" spans="1:16" ht="18" customHeight="1">
      <c r="A34" s="178"/>
      <c r="B34" s="35" t="s">
        <v>209</v>
      </c>
      <c r="C34" s="31"/>
      <c r="D34" s="31">
        <f ca="1">83.9*OFFSET(D$112,MATCH($N$1,$C$112:$C$113,0)-1,0)</f>
        <v>83.9</v>
      </c>
      <c r="E34" s="31">
        <f ca="1">105.4*OFFSET(E$112,MATCH($N$1,$C$112:$C$113,0)-1,0)</f>
        <v>105.4</v>
      </c>
      <c r="F34" s="31">
        <f ca="1">86.5*OFFSET(F$112,MATCH($N$1,$C$112:$C$113,0)-1,0)</f>
        <v>86.5</v>
      </c>
      <c r="G34" s="31">
        <f ca="1">96*OFFSET(G$112,MATCH($N$1,$C$112:$C$113,0)-1,0)</f>
        <v>96</v>
      </c>
      <c r="H34" s="31">
        <f ca="1">113.8*OFFSET(H$112,MATCH($N$1,$C$112:$C$113,0)-1,0)</f>
        <v>113.8</v>
      </c>
      <c r="I34" s="31">
        <f ca="1">105.2*OFFSET(I$112,MATCH($N$1,$C$112:$C$113,0)-1,0)</f>
        <v>105.2</v>
      </c>
      <c r="J34" s="31">
        <f ca="1">102*OFFSET(J$112,MATCH($N$1,$C$112:$C$113,0)-1,0)</f>
        <v>102</v>
      </c>
      <c r="K34" s="31">
        <f ca="1">120.9*OFFSET(K$112,MATCH($N$1,$C$112:$C$113,0)-1,0)</f>
        <v>120.9</v>
      </c>
      <c r="L34" s="31">
        <f ca="1">132.8*OFFSET(L$112,MATCH($N$1,$C$112:$C$113,0)-1,0)</f>
        <v>132.80000000000001</v>
      </c>
      <c r="M34" s="31">
        <f ca="1">107.4*OFFSET(M$112,MATCH($N$1,$C$112:$C$113,0)-1,0)</f>
        <v>107.4</v>
      </c>
      <c r="N34" s="31">
        <v>99.5</v>
      </c>
      <c r="O34" s="28">
        <f t="shared" ca="1" si="0"/>
        <v>0.18593563766388549</v>
      </c>
      <c r="P34" s="28">
        <f t="shared" ca="1" si="1"/>
        <v>-2.4509803921568627E-2</v>
      </c>
    </row>
    <row r="35" spans="1:16" ht="18" customHeight="1">
      <c r="A35" s="178"/>
      <c r="B35" s="35" t="s">
        <v>210</v>
      </c>
      <c r="C35" s="31"/>
      <c r="D35" s="31">
        <f ca="1">334.6*OFFSET(D$112,MATCH($N$1,$C$112:$C$113,0)-1,0)</f>
        <v>334.6</v>
      </c>
      <c r="E35" s="31">
        <f ca="1">369.3*OFFSET(E$112,MATCH($N$1,$C$112:$C$113,0)-1,0)</f>
        <v>369.3</v>
      </c>
      <c r="F35" s="31">
        <f ca="1">347.4*OFFSET(F$112,MATCH($N$1,$C$112:$C$113,0)-1,0)</f>
        <v>347.4</v>
      </c>
      <c r="G35" s="31">
        <f ca="1">361.8*OFFSET(G$112,MATCH($N$1,$C$112:$C$113,0)-1,0)</f>
        <v>361.8</v>
      </c>
      <c r="H35" s="31">
        <f ca="1">386.2*OFFSET(H$112,MATCH($N$1,$C$112:$C$113,0)-1,0)</f>
        <v>386.2</v>
      </c>
      <c r="I35" s="31">
        <f ca="1">350.9*OFFSET(I$112,MATCH($N$1,$C$112:$C$113,0)-1,0)</f>
        <v>350.9</v>
      </c>
      <c r="J35" s="31">
        <f ca="1">389.5*OFFSET(J$112,MATCH($N$1,$C$112:$C$113,0)-1,0)</f>
        <v>389.5</v>
      </c>
      <c r="K35" s="31">
        <f ca="1">467.1*OFFSET(K$112,MATCH($N$1,$C$112:$C$113,0)-1,0)</f>
        <v>467.1</v>
      </c>
      <c r="L35" s="31">
        <f ca="1">493.5*OFFSET(L$112,MATCH($N$1,$C$112:$C$113,0)-1,0)</f>
        <v>493.5</v>
      </c>
      <c r="M35" s="31">
        <f ca="1">458.2*OFFSET(M$112,MATCH($N$1,$C$112:$C$113,0)-1,0)</f>
        <v>458.2</v>
      </c>
      <c r="N35" s="31">
        <v>346.8</v>
      </c>
      <c r="O35" s="28">
        <f t="shared" ca="1" si="0"/>
        <v>3.6461446503287469E-2</v>
      </c>
      <c r="P35" s="28">
        <f t="shared" ca="1" si="1"/>
        <v>-0.1096277278562259</v>
      </c>
    </row>
    <row r="36" spans="1:16" ht="18" customHeight="1">
      <c r="A36" s="178"/>
      <c r="B36" s="40" t="s">
        <v>211</v>
      </c>
      <c r="C36" s="41"/>
      <c r="D36" s="41">
        <f ca="1">154.8*OFFSET(D$112,MATCH($N$1,$C$112:$C$113,0)-1,0)</f>
        <v>154.80000000000001</v>
      </c>
      <c r="E36" s="41">
        <f ca="1">159.5*OFFSET(E$112,MATCH($N$1,$C$112:$C$113,0)-1,0)</f>
        <v>159.5</v>
      </c>
      <c r="F36" s="41">
        <f ca="1">203.6*OFFSET(F$112,MATCH($N$1,$C$112:$C$113,0)-1,0)</f>
        <v>203.6</v>
      </c>
      <c r="G36" s="41">
        <f ca="1">204*OFFSET(G$112,MATCH($N$1,$C$112:$C$113,0)-1,0)</f>
        <v>204</v>
      </c>
      <c r="H36" s="41">
        <f ca="1">234*OFFSET(H$112,MATCH($N$1,$C$112:$C$113,0)-1,0)</f>
        <v>234</v>
      </c>
      <c r="I36" s="41">
        <f ca="1">229.5*OFFSET(I$112,MATCH($N$1,$C$112:$C$113,0)-1,0)</f>
        <v>229.5</v>
      </c>
      <c r="J36" s="41">
        <f ca="1">275.3*OFFSET(J$112,MATCH($N$1,$C$112:$C$113,0)-1,0)</f>
        <v>275.3</v>
      </c>
      <c r="K36" s="41">
        <f ca="1">358.5*OFFSET(K$112,MATCH($N$1,$C$112:$C$113,0)-1,0)</f>
        <v>358.5</v>
      </c>
      <c r="L36" s="41">
        <f ca="1">338.9*OFFSET(L$112,MATCH($N$1,$C$112:$C$113,0)-1,0)</f>
        <v>338.9</v>
      </c>
      <c r="M36" s="41">
        <f ca="1">338.6*OFFSET(M$112,MATCH($N$1,$C$112:$C$113,0)-1,0)</f>
        <v>338.6</v>
      </c>
      <c r="N36" s="41">
        <v>225.10000000000002</v>
      </c>
      <c r="O36" s="28">
        <f t="shared" ca="1" si="0"/>
        <v>0.45413436692506465</v>
      </c>
      <c r="P36" s="28">
        <f t="shared" ca="1" si="1"/>
        <v>-0.18234653105702864</v>
      </c>
    </row>
    <row r="37" spans="1:16" ht="18" customHeight="1">
      <c r="A37" s="178"/>
      <c r="B37" s="40" t="s">
        <v>212</v>
      </c>
      <c r="C37" s="41"/>
      <c r="D37" s="41">
        <f ca="1">47.7*OFFSET(D$112,MATCH($N$1,$C$112:$C$113,0)-1,0)</f>
        <v>47.7</v>
      </c>
      <c r="E37" s="41">
        <f ca="1">35.4*OFFSET(E$112,MATCH($N$1,$C$112:$C$113,0)-1,0)</f>
        <v>35.4</v>
      </c>
      <c r="F37" s="41">
        <f ca="1">82.6*OFFSET(F$112,MATCH($N$1,$C$112:$C$113,0)-1,0)</f>
        <v>82.6</v>
      </c>
      <c r="G37" s="41">
        <f ca="1">74.9*OFFSET(G$112,MATCH($N$1,$C$112:$C$113,0)-1,0)</f>
        <v>74.900000000000006</v>
      </c>
      <c r="H37" s="41">
        <f ca="1">98.4*OFFSET(H$112,MATCH($N$1,$C$112:$C$113,0)-1,0)</f>
        <v>98.4</v>
      </c>
      <c r="I37" s="41">
        <f ca="1">100*OFFSET(I$112,MATCH($N$1,$C$112:$C$113,0)-1,0)</f>
        <v>100</v>
      </c>
      <c r="J37" s="41">
        <f ca="1">117*OFFSET(J$112,MATCH($N$1,$C$112:$C$113,0)-1,0)</f>
        <v>117</v>
      </c>
      <c r="K37" s="41">
        <f ca="1">163.4*OFFSET(K$112,MATCH($N$1,$C$112:$C$113,0)-1,0)</f>
        <v>163.4</v>
      </c>
      <c r="L37" s="41">
        <f ca="1">143.9*OFFSET(L$112,MATCH($N$1,$C$112:$C$113,0)-1,0)</f>
        <v>143.9</v>
      </c>
      <c r="M37" s="41">
        <f ca="1">136.6*OFFSET(M$112,MATCH($N$1,$C$112:$C$113,0)-1,0)</f>
        <v>136.6</v>
      </c>
      <c r="N37" s="41">
        <v>82.3</v>
      </c>
      <c r="O37" s="28">
        <f t="shared" ca="1" si="0"/>
        <v>0.72536687631027241</v>
      </c>
      <c r="P37" s="28">
        <f t="shared" ca="1" si="1"/>
        <v>-0.29658119658119658</v>
      </c>
    </row>
    <row r="38" spans="1:16" ht="18" customHeight="1">
      <c r="A38" s="178"/>
      <c r="B38" s="35" t="s">
        <v>213</v>
      </c>
      <c r="C38" s="31"/>
      <c r="D38" s="31">
        <f ca="1">22.6*OFFSET(D$112,MATCH($N$1,$C$112:$C$113,0)-1,0)</f>
        <v>22.6</v>
      </c>
      <c r="E38" s="31">
        <f ca="1">24.3*OFFSET(E$112,MATCH($N$1,$C$112:$C$113,0)-1,0)</f>
        <v>24.3</v>
      </c>
      <c r="F38" s="31">
        <f ca="1">19.9*OFFSET(F$112,MATCH($N$1,$C$112:$C$113,0)-1,0)</f>
        <v>19.899999999999999</v>
      </c>
      <c r="G38" s="31">
        <f ca="1">20.5*OFFSET(G$112,MATCH($N$1,$C$112:$C$113,0)-1,0)</f>
        <v>20.5</v>
      </c>
      <c r="H38" s="31">
        <f ca="1">23.3*OFFSET(H$112,MATCH($N$1,$C$112:$C$113,0)-1,0)</f>
        <v>23.3</v>
      </c>
      <c r="I38" s="31">
        <f ca="1">23.7*OFFSET(I$112,MATCH($N$1,$C$112:$C$113,0)-1,0)</f>
        <v>23.7</v>
      </c>
      <c r="J38" s="31">
        <f ca="1">24.8*OFFSET(J$112,MATCH($N$1,$C$112:$C$113,0)-1,0)</f>
        <v>24.8</v>
      </c>
      <c r="K38" s="31">
        <f ca="1">29.2*OFFSET(K$112,MATCH($N$1,$C$112:$C$113,0)-1,0)</f>
        <v>29.2</v>
      </c>
      <c r="L38" s="31">
        <f ca="1">25.5*OFFSET(L$112,MATCH($N$1,$C$112:$C$113,0)-1,0)</f>
        <v>25.5</v>
      </c>
      <c r="M38" s="31">
        <f ca="1">14.8*OFFSET(M$112,MATCH($N$1,$C$112:$C$113,0)-1,0)</f>
        <v>14.8</v>
      </c>
      <c r="N38" s="31"/>
      <c r="O38" s="28" t="str">
        <f t="shared" si="0"/>
        <v/>
      </c>
      <c r="P38" s="28" t="str">
        <f t="shared" si="1"/>
        <v/>
      </c>
    </row>
    <row r="39" spans="1:16" ht="18" customHeight="1">
      <c r="A39" s="178"/>
      <c r="B39" s="35" t="s">
        <v>214</v>
      </c>
      <c r="C39" s="31"/>
      <c r="D39" s="31">
        <f ca="1">7*OFFSET(D$112,MATCH($N$1,$C$112:$C$113,0)-1,0)</f>
        <v>7</v>
      </c>
      <c r="E39" s="31">
        <f ca="1">4.7*OFFSET(E$112,MATCH($N$1,$C$112:$C$113,0)-1,0)</f>
        <v>4.7</v>
      </c>
      <c r="F39" s="31">
        <f ca="1">4.3*OFFSET(F$112,MATCH($N$1,$C$112:$C$113,0)-1,0)</f>
        <v>4.3</v>
      </c>
      <c r="G39" s="31">
        <f ca="1">5*OFFSET(G$112,MATCH($N$1,$C$112:$C$113,0)-1,0)</f>
        <v>5</v>
      </c>
      <c r="H39" s="31">
        <f ca="1">4.4*OFFSET(H$112,MATCH($N$1,$C$112:$C$113,0)-1,0)</f>
        <v>4.4000000000000004</v>
      </c>
      <c r="I39" s="31">
        <f ca="1">3.6*OFFSET(I$112,MATCH($N$1,$C$112:$C$113,0)-1,0)</f>
        <v>3.6</v>
      </c>
      <c r="J39" s="31">
        <f ca="1">3.1*OFFSET(J$112,MATCH($N$1,$C$112:$C$113,0)-1,0)</f>
        <v>3.1</v>
      </c>
      <c r="K39" s="31">
        <f ca="1">3.6*OFFSET(K$112,MATCH($N$1,$C$112:$C$113,0)-1,0)</f>
        <v>3.6</v>
      </c>
      <c r="L39" s="31">
        <f ca="1">3.9*OFFSET(L$112,MATCH($N$1,$C$112:$C$113,0)-1,0)</f>
        <v>3.9</v>
      </c>
      <c r="M39" s="31">
        <f ca="1">4.1*OFFSET(M$112,MATCH($N$1,$C$112:$C$113,0)-1,0)</f>
        <v>4.0999999999999996</v>
      </c>
      <c r="N39" s="31"/>
      <c r="O39" s="28" t="str">
        <f t="shared" si="0"/>
        <v/>
      </c>
      <c r="P39" s="28" t="str">
        <f t="shared" si="1"/>
        <v/>
      </c>
    </row>
    <row r="40" spans="1:16" ht="18" customHeight="1">
      <c r="A40" s="178"/>
      <c r="B40" s="35" t="s">
        <v>215</v>
      </c>
      <c r="C40" s="31"/>
      <c r="D40" s="31">
        <f ca="1">0.6*OFFSET(D$112,MATCH($N$1,$C$112:$C$113,0)-1,0)</f>
        <v>0.6</v>
      </c>
      <c r="E40" s="31">
        <f ca="1">2.1*OFFSET(E$112,MATCH($N$1,$C$112:$C$113,0)-1,0)</f>
        <v>2.1</v>
      </c>
      <c r="F40" s="31">
        <f ca="1">1.1*OFFSET(F$112,MATCH($N$1,$C$112:$C$113,0)-1,0)</f>
        <v>1.1000000000000001</v>
      </c>
      <c r="G40" s="31">
        <f ca="1">3.7*OFFSET(G$112,MATCH($N$1,$C$112:$C$113,0)-1,0)</f>
        <v>3.7</v>
      </c>
      <c r="H40" s="31">
        <f ca="1">0.9*OFFSET(H$112,MATCH($N$1,$C$112:$C$113,0)-1,0)</f>
        <v>0.9</v>
      </c>
      <c r="I40" s="31">
        <f ca="1">3.7*OFFSET(I$112,MATCH($N$1,$C$112:$C$113,0)-1,0)</f>
        <v>3.7</v>
      </c>
      <c r="J40" s="31">
        <f ca="1">1.3*OFFSET(J$112,MATCH($N$1,$C$112:$C$113,0)-1,0)</f>
        <v>1.3</v>
      </c>
      <c r="K40" s="31">
        <f ca="1">5.3*OFFSET(K$112,MATCH($N$1,$C$112:$C$113,0)-1,0)</f>
        <v>5.3</v>
      </c>
      <c r="L40" s="31">
        <f ca="1">0.5*OFFSET(L$112,MATCH($N$1,$C$112:$C$113,0)-1,0)</f>
        <v>0.5</v>
      </c>
      <c r="M40" s="31">
        <f ca="1">2.8*OFFSET(M$112,MATCH($N$1,$C$112:$C$113,0)-1,0)</f>
        <v>2.8</v>
      </c>
      <c r="N40" s="31"/>
      <c r="O40" s="28" t="str">
        <f t="shared" si="0"/>
        <v/>
      </c>
      <c r="P40" s="28" t="str">
        <f t="shared" si="1"/>
        <v/>
      </c>
    </row>
    <row r="41" spans="1:16" ht="18" customHeight="1" thickBot="1">
      <c r="A41" s="179"/>
      <c r="B41" s="42" t="s">
        <v>216</v>
      </c>
      <c r="C41" s="43"/>
      <c r="D41" s="43">
        <f ca="1">17.5*OFFSET(D$112,MATCH($N$1,$C$112:$C$113,0)-1,0)</f>
        <v>17.5</v>
      </c>
      <c r="E41" s="43">
        <f ca="1">4.3*OFFSET(E$112,MATCH($N$1,$C$112:$C$113,0)-1,0)</f>
        <v>4.3</v>
      </c>
      <c r="F41" s="43">
        <f ca="1">57.3*OFFSET(F$112,MATCH($N$1,$C$112:$C$113,0)-1,0)</f>
        <v>57.3</v>
      </c>
      <c r="G41" s="43">
        <f ca="1">45.8*OFFSET(G$112,MATCH($N$1,$C$112:$C$113,0)-1,0)</f>
        <v>45.8</v>
      </c>
      <c r="H41" s="43">
        <f ca="1">69.8*OFFSET(H$112,MATCH($N$1,$C$112:$C$113,0)-1,0)</f>
        <v>69.8</v>
      </c>
      <c r="I41" s="43">
        <f ca="1">69.1*OFFSET(I$112,MATCH($N$1,$C$112:$C$113,0)-1,0)</f>
        <v>69.099999999999994</v>
      </c>
      <c r="J41" s="43">
        <f ca="1">87.9*OFFSET(J$112,MATCH($N$1,$C$112:$C$113,0)-1,0)</f>
        <v>87.9</v>
      </c>
      <c r="K41" s="43">
        <f ca="1">125.4*OFFSET(K$112,MATCH($N$1,$C$112:$C$113,0)-1,0)</f>
        <v>125.4</v>
      </c>
      <c r="L41" s="43">
        <f ca="1">113.9*OFFSET(L$112,MATCH($N$1,$C$112:$C$113,0)-1,0)</f>
        <v>113.9</v>
      </c>
      <c r="M41" s="43">
        <f ca="1">114.9*OFFSET(M$112,MATCH($N$1,$C$112:$C$113,0)-1,0)</f>
        <v>114.9</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163</v>
      </c>
      <c r="F46" s="90" t="s">
        <v>159</v>
      </c>
      <c r="G46" s="90" t="s">
        <v>159</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Pots and traps over 12m</v>
      </c>
      <c r="B48" s="202"/>
      <c r="C48" s="92"/>
      <c r="D48" s="92"/>
      <c r="E48" s="92"/>
      <c r="F48" s="92"/>
      <c r="G48" s="92"/>
      <c r="H48" s="202"/>
      <c r="I48" s="202"/>
      <c r="J48" s="202"/>
      <c r="K48" s="92" t="str">
        <f>$B24&amp;CHAR(10)&amp;$A$1</f>
        <v>Operating profit per kW day at sea (£)
Pots and traps over 12m</v>
      </c>
      <c r="L48" s="202"/>
      <c r="M48" s="202"/>
      <c r="N48" s="202"/>
      <c r="O48" s="202"/>
      <c r="P48" s="202"/>
    </row>
    <row r="49" spans="1:11" s="80" customFormat="1">
      <c r="A49" s="92" t="str">
        <f>$B22&amp;CHAR(10)&amp;$A$1</f>
        <v>Fishing income per kW day at sea (£)
Pots and traps over 12m</v>
      </c>
      <c r="B49" s="202"/>
      <c r="C49" s="202"/>
      <c r="D49" s="202"/>
      <c r="E49" s="202"/>
      <c r="F49" s="202"/>
      <c r="G49" s="202"/>
      <c r="H49" s="202"/>
      <c r="I49" s="202"/>
      <c r="J49" s="202"/>
      <c r="K49" s="202"/>
    </row>
    <row r="50" spans="1:11" s="80" customFormat="1">
      <c r="A50" s="92" t="str">
        <f>$B20&amp;CHAR(10)&amp;$A$1</f>
        <v>Average price per tonne landed (£)
Pots and traps over 12m</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Pots and traps over 12m</v>
      </c>
      <c r="C62" s="202"/>
      <c r="D62" s="202"/>
      <c r="E62" s="202"/>
      <c r="F62" s="92" t="str">
        <f>$B20&amp;CHAR(10)&amp;$A$1</f>
        <v>Average price per tonne landed (£)
Pots and traps over 12m</v>
      </c>
      <c r="G62" s="202"/>
      <c r="H62" s="202"/>
      <c r="I62" s="202"/>
      <c r="J62" s="202"/>
      <c r="K62" s="92" t="str">
        <f>"Average annual operating profit per vessel (£'000)"&amp;CHAR(10)&amp;$A$1</f>
        <v>Average annual operating profit per vessel (£'000)
Pots and traps over 12m</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Pots and traps over 12m</v>
      </c>
      <c r="F76" s="92" t="str">
        <f>"Top 5 landed species by value in "&amp;A77&amp;CHAR(10)&amp;A1</f>
        <v>Top 5 landed species by value in 2019
Pots and traps over 12m</v>
      </c>
    </row>
    <row r="77" spans="1:11" s="92" customFormat="1">
      <c r="A77" s="92">
        <v>2019</v>
      </c>
      <c r="B77" s="92" t="s">
        <v>510</v>
      </c>
      <c r="C77" s="93">
        <v>0.67070534038128771</v>
      </c>
      <c r="D77" s="94">
        <v>12153634</v>
      </c>
      <c r="G77" s="92" t="s">
        <v>511</v>
      </c>
      <c r="H77" s="93">
        <v>0.70208163746478691</v>
      </c>
      <c r="I77" s="94">
        <v>12153634</v>
      </c>
      <c r="K77" s="92" t="s">
        <v>230</v>
      </c>
    </row>
    <row r="78" spans="1:11" s="92" customFormat="1">
      <c r="B78" s="92" t="s">
        <v>512</v>
      </c>
      <c r="C78" s="93">
        <v>0.30319371291511577</v>
      </c>
      <c r="D78" s="94">
        <v>553960</v>
      </c>
      <c r="G78" s="92" t="s">
        <v>513</v>
      </c>
      <c r="H78" s="93">
        <v>0.17039484892063178</v>
      </c>
      <c r="I78" s="94">
        <v>553960</v>
      </c>
    </row>
    <row r="79" spans="1:11" s="92" customFormat="1">
      <c r="B79" s="92" t="s">
        <v>514</v>
      </c>
      <c r="C79" s="93">
        <v>1.7475771669655967E-2</v>
      </c>
      <c r="D79" s="94">
        <v>3050596</v>
      </c>
      <c r="G79" s="92" t="s">
        <v>515</v>
      </c>
      <c r="H79" s="93">
        <v>0.11311031590642198</v>
      </c>
      <c r="I79" s="94">
        <v>3050596</v>
      </c>
    </row>
    <row r="80" spans="1:11" s="92" customFormat="1">
      <c r="B80" s="92" t="s">
        <v>516</v>
      </c>
      <c r="C80" s="93">
        <v>3.1142285144603902E-3</v>
      </c>
      <c r="D80" s="94">
        <v>1692097</v>
      </c>
      <c r="G80" s="92" t="s">
        <v>517</v>
      </c>
      <c r="H80" s="93">
        <v>1.0097763578637986E-2</v>
      </c>
      <c r="I80" s="94">
        <v>1692097</v>
      </c>
    </row>
    <row r="81" spans="1:19" s="92" customFormat="1">
      <c r="B81" s="92" t="s">
        <v>518</v>
      </c>
      <c r="C81" s="93">
        <v>2.3902983045302299E-3</v>
      </c>
      <c r="D81" s="94">
        <v>3689192</v>
      </c>
      <c r="G81" s="92" t="s">
        <v>518</v>
      </c>
      <c r="H81" s="93">
        <v>2.3171124927982068E-3</v>
      </c>
      <c r="I81" s="94">
        <v>3689192</v>
      </c>
    </row>
    <row r="82" spans="1:19" s="92" customFormat="1">
      <c r="B82" s="92" t="s">
        <v>519</v>
      </c>
      <c r="C82" s="93">
        <v>3.1206482149499504E-3</v>
      </c>
      <c r="D82" s="94">
        <v>5920853</v>
      </c>
      <c r="G82" s="92" t="s">
        <v>520</v>
      </c>
      <c r="H82" s="93">
        <v>1.9983216367231993E-3</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170</v>
      </c>
      <c r="D92" s="98">
        <v>0.69389931538033955</v>
      </c>
      <c r="E92" s="98">
        <v>0.67663793251118509</v>
      </c>
      <c r="F92" s="98">
        <v>0.67977824862740532</v>
      </c>
      <c r="G92" s="98">
        <v>0.69243140028507311</v>
      </c>
      <c r="H92" s="98">
        <v>0.65413165043225752</v>
      </c>
      <c r="I92" s="98">
        <v>0.66033505100882339</v>
      </c>
      <c r="J92" s="98">
        <v>0.66462118650004021</v>
      </c>
      <c r="K92" s="98">
        <v>0.73255654206887422</v>
      </c>
      <c r="L92" s="98">
        <v>0.70208163746478691</v>
      </c>
      <c r="M92" s="98">
        <v>0.59255327993317286</v>
      </c>
      <c r="O92" s="92">
        <v>12153634</v>
      </c>
    </row>
    <row r="93" spans="1:19" s="92" customFormat="1" hidden="1">
      <c r="B93" s="92">
        <v>2</v>
      </c>
      <c r="C93" s="92" t="s">
        <v>378</v>
      </c>
      <c r="D93" s="98">
        <v>9.206284917817309E-2</v>
      </c>
      <c r="E93" s="98">
        <v>0.10756021405013758</v>
      </c>
      <c r="F93" s="98">
        <v>0.1061580473915284</v>
      </c>
      <c r="G93" s="98">
        <v>0.12423942581482358</v>
      </c>
      <c r="H93" s="98">
        <v>0.14778877413796834</v>
      </c>
      <c r="I93" s="98">
        <v>0.15345906873446735</v>
      </c>
      <c r="J93" s="98">
        <v>0.15995747732680929</v>
      </c>
      <c r="K93" s="98">
        <v>0.14696891698413386</v>
      </c>
      <c r="L93" s="98">
        <v>0.17039484892063178</v>
      </c>
      <c r="M93" s="98">
        <v>0.23377443078982849</v>
      </c>
      <c r="O93" s="92">
        <v>553960</v>
      </c>
    </row>
    <row r="94" spans="1:19" s="92" customFormat="1" hidden="1">
      <c r="B94" s="92">
        <v>3</v>
      </c>
      <c r="C94" s="92" t="s">
        <v>167</v>
      </c>
      <c r="D94" s="98">
        <v>0.16901640142326829</v>
      </c>
      <c r="E94" s="98">
        <v>0.16332224281775581</v>
      </c>
      <c r="F94" s="98">
        <v>0.15729277865887065</v>
      </c>
      <c r="G94" s="98">
        <v>0.15077805982380796</v>
      </c>
      <c r="H94" s="98">
        <v>0.16861370937041739</v>
      </c>
      <c r="I94" s="98">
        <v>0.16053082627641174</v>
      </c>
      <c r="J94" s="98">
        <v>0.15247632974456912</v>
      </c>
      <c r="K94" s="98">
        <v>0.10586523923883197</v>
      </c>
      <c r="L94" s="98">
        <v>0.11311031590642198</v>
      </c>
      <c r="M94" s="98">
        <v>0.14893329674816394</v>
      </c>
      <c r="O94" s="92">
        <v>3050596</v>
      </c>
    </row>
    <row r="95" spans="1:19" s="92" customFormat="1" hidden="1">
      <c r="B95" s="92">
        <v>4</v>
      </c>
      <c r="C95" s="92" t="s">
        <v>160</v>
      </c>
      <c r="D95" s="98">
        <v>2.8568101639902907E-2</v>
      </c>
      <c r="E95" s="98">
        <v>3.699152784599799E-2</v>
      </c>
      <c r="F95" s="98">
        <v>4.2932208388097436E-2</v>
      </c>
      <c r="G95" s="98">
        <v>2.5251044650217627E-2</v>
      </c>
      <c r="H95" s="98">
        <v>2.0866568835280486E-2</v>
      </c>
      <c r="I95" s="98">
        <v>1.950985059495219E-2</v>
      </c>
      <c r="J95" s="98">
        <v>1.4756666921675637E-2</v>
      </c>
      <c r="K95" s="98">
        <v>8.8699309508836963E-3</v>
      </c>
      <c r="L95" s="98">
        <v>1.0097763578637986E-2</v>
      </c>
      <c r="M95" s="98">
        <v>1.6732502012605111E-2</v>
      </c>
      <c r="O95" s="92">
        <v>1692097</v>
      </c>
    </row>
    <row r="96" spans="1:19" s="92" customFormat="1" hidden="1">
      <c r="B96" s="92">
        <v>5</v>
      </c>
      <c r="C96" s="92" t="s">
        <v>172</v>
      </c>
      <c r="D96" s="98"/>
      <c r="E96" s="98"/>
      <c r="F96" s="98"/>
      <c r="G96" s="98"/>
      <c r="H96" s="98">
        <v>3.9537384111871026E-3</v>
      </c>
      <c r="I96" s="98">
        <v>2.0776714371792703E-3</v>
      </c>
      <c r="J96" s="98">
        <v>4.4757795379987645E-3</v>
      </c>
      <c r="K96" s="98">
        <v>3.1649023692059859E-3</v>
      </c>
      <c r="L96" s="98">
        <v>2.3171124927982068E-3</v>
      </c>
      <c r="M96" s="98"/>
      <c r="O96" s="92">
        <v>3689192</v>
      </c>
    </row>
    <row r="97" spans="1:15" s="92" customFormat="1" hidden="1">
      <c r="B97" s="92">
        <v>6</v>
      </c>
      <c r="C97" s="92" t="s">
        <v>166</v>
      </c>
      <c r="D97" s="98"/>
      <c r="E97" s="98"/>
      <c r="F97" s="98"/>
      <c r="G97" s="98"/>
      <c r="H97" s="98"/>
      <c r="I97" s="98"/>
      <c r="J97" s="98"/>
      <c r="K97" s="98"/>
      <c r="L97" s="98"/>
      <c r="M97" s="98">
        <v>3.9488904223756605E-3</v>
      </c>
      <c r="O97" s="92">
        <v>11115023</v>
      </c>
    </row>
    <row r="98" spans="1:15" s="92" customFormat="1" hidden="1">
      <c r="B98" s="92">
        <v>7</v>
      </c>
      <c r="C98" s="92" t="s">
        <v>379</v>
      </c>
      <c r="D98" s="98">
        <v>5.4373813876586507E-3</v>
      </c>
      <c r="E98" s="98">
        <v>3.7513630349211811E-3</v>
      </c>
      <c r="F98" s="98"/>
      <c r="G98" s="98">
        <v>3.1131278096198133E-3</v>
      </c>
      <c r="H98" s="98"/>
      <c r="I98" s="98"/>
      <c r="J98" s="98"/>
      <c r="K98" s="98"/>
      <c r="L98" s="98"/>
      <c r="M98" s="98"/>
      <c r="O98" s="92">
        <v>2480382</v>
      </c>
    </row>
    <row r="99" spans="1:15" s="92" customFormat="1" hidden="1">
      <c r="B99" s="92">
        <v>8</v>
      </c>
      <c r="C99" s="92" t="s">
        <v>242</v>
      </c>
      <c r="D99" s="98"/>
      <c r="E99" s="98"/>
      <c r="F99" s="98">
        <v>5.2680328548295654E-3</v>
      </c>
      <c r="G99" s="98"/>
      <c r="H99" s="98"/>
      <c r="I99" s="98"/>
      <c r="J99" s="98"/>
      <c r="K99" s="98"/>
      <c r="L99" s="98"/>
      <c r="M99" s="98"/>
      <c r="O99" s="92">
        <v>7434864</v>
      </c>
    </row>
    <row r="100" spans="1:15" s="92" customFormat="1" hidden="1">
      <c r="B100" s="92">
        <v>9</v>
      </c>
      <c r="C100" s="92" t="s">
        <v>245</v>
      </c>
      <c r="D100" s="98">
        <v>1.1015950990657457E-2</v>
      </c>
      <c r="E100" s="98">
        <v>1.1736719740002302E-2</v>
      </c>
      <c r="F100" s="98">
        <v>8.5706840792686215E-3</v>
      </c>
      <c r="G100" s="98">
        <v>4.1869416164579442E-3</v>
      </c>
      <c r="H100" s="98">
        <v>4.6455588128891988E-3</v>
      </c>
      <c r="I100" s="98">
        <v>4.087531948166064E-3</v>
      </c>
      <c r="J100" s="98">
        <v>3.7125599689069337E-3</v>
      </c>
      <c r="K100" s="98">
        <v>2.5744683880702711E-3</v>
      </c>
      <c r="L100" s="98">
        <v>1.9983216367231815E-3</v>
      </c>
      <c r="M100" s="98">
        <v>4.0576000938539443E-3</v>
      </c>
      <c r="O100" s="92">
        <v>5920853</v>
      </c>
    </row>
    <row r="101" spans="1:15" s="92" customFormat="1" hidden="1">
      <c r="B101" s="92">
        <v>10</v>
      </c>
      <c r="D101" s="98"/>
      <c r="E101" s="98"/>
      <c r="F101" s="98"/>
      <c r="G101" s="98"/>
      <c r="H101" s="98"/>
      <c r="I101" s="98"/>
      <c r="J101" s="98"/>
      <c r="K101" s="98"/>
      <c r="L101" s="98"/>
      <c r="M101" s="98"/>
      <c r="O101" s="92">
        <v>14393110</v>
      </c>
    </row>
    <row r="102" spans="1:15" s="92" customFormat="1" hidden="1">
      <c r="B102" s="92">
        <v>11</v>
      </c>
      <c r="D102" s="98"/>
      <c r="E102" s="98"/>
      <c r="F102" s="98"/>
      <c r="G102" s="98"/>
      <c r="H102" s="98"/>
      <c r="I102" s="98"/>
      <c r="J102" s="98"/>
      <c r="K102" s="98"/>
      <c r="L102" s="98"/>
      <c r="M102" s="98"/>
      <c r="O102" s="92">
        <v>2887140</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10</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26</v>
      </c>
      <c r="D120" s="54">
        <v>53</v>
      </c>
      <c r="E120" s="54">
        <v>26</v>
      </c>
      <c r="F120" s="55">
        <v>105</v>
      </c>
    </row>
    <row r="121" spans="1:15" ht="18" customHeight="1">
      <c r="A121" s="173" t="s">
        <v>191</v>
      </c>
      <c r="B121" s="33" t="s">
        <v>192</v>
      </c>
      <c r="C121" s="56">
        <v>17.229616165161133</v>
      </c>
      <c r="D121" s="56">
        <v>15.414905584083414</v>
      </c>
      <c r="E121" s="56">
        <v>13.900769233703613</v>
      </c>
      <c r="F121" s="57">
        <v>15.489333152770996</v>
      </c>
      <c r="G121" s="206"/>
      <c r="H121" s="206"/>
      <c r="I121" s="206"/>
      <c r="J121" s="206"/>
      <c r="K121" s="206"/>
      <c r="L121" s="206"/>
      <c r="M121" s="206"/>
      <c r="N121" s="206"/>
      <c r="O121" s="206"/>
    </row>
    <row r="122" spans="1:15" ht="18" customHeight="1">
      <c r="A122" s="174"/>
      <c r="B122" s="35" t="s">
        <v>184</v>
      </c>
      <c r="C122" s="58">
        <v>279.69232177734375</v>
      </c>
      <c r="D122" s="58">
        <v>209.50942993164063</v>
      </c>
      <c r="E122" s="58">
        <v>234.34616088867188</v>
      </c>
      <c r="F122" s="59">
        <v>233.03810119628906</v>
      </c>
      <c r="G122" s="206"/>
      <c r="H122" s="206"/>
      <c r="I122" s="206"/>
      <c r="J122" s="206"/>
      <c r="K122" s="206"/>
      <c r="L122" s="206"/>
      <c r="M122" s="206"/>
      <c r="N122" s="206"/>
      <c r="O122" s="206"/>
    </row>
    <row r="123" spans="1:15" ht="18" customHeight="1">
      <c r="A123" s="174"/>
      <c r="B123" s="35" t="s">
        <v>185</v>
      </c>
      <c r="C123" s="58">
        <v>95.192306518554688</v>
      </c>
      <c r="D123" s="58">
        <v>54.037734697449885</v>
      </c>
      <c r="E123" s="58">
        <v>28.269229888916016</v>
      </c>
      <c r="F123" s="59">
        <v>57.847618103027344</v>
      </c>
      <c r="G123" s="206"/>
      <c r="H123" s="206"/>
      <c r="I123" s="206"/>
      <c r="J123" s="206"/>
      <c r="K123" s="206"/>
      <c r="L123" s="206"/>
      <c r="M123" s="206"/>
      <c r="N123" s="206"/>
      <c r="O123" s="206"/>
    </row>
    <row r="124" spans="1:15" ht="18" customHeight="1">
      <c r="A124" s="174"/>
      <c r="B124" s="35" t="s">
        <v>186</v>
      </c>
      <c r="C124" s="58">
        <v>234.02134704589844</v>
      </c>
      <c r="D124" s="58">
        <v>180.24615161823777</v>
      </c>
      <c r="E124" s="58">
        <v>171.412841796875</v>
      </c>
      <c r="F124" s="59">
        <v>191.37461853027344</v>
      </c>
      <c r="G124" s="206"/>
      <c r="H124" s="206"/>
      <c r="I124" s="206"/>
      <c r="J124" s="206"/>
      <c r="K124" s="206"/>
      <c r="L124" s="206"/>
      <c r="M124" s="206"/>
      <c r="N124" s="206"/>
      <c r="O124" s="206"/>
    </row>
    <row r="125" spans="1:15" ht="18" customHeight="1">
      <c r="A125" s="174"/>
      <c r="B125" s="35" t="s">
        <v>187</v>
      </c>
      <c r="C125" s="31">
        <v>494.78521728515625</v>
      </c>
      <c r="D125" s="31">
        <v>191.18212214056052</v>
      </c>
      <c r="E125" s="31">
        <v>66.656463623046875</v>
      </c>
      <c r="F125" s="60">
        <v>235.52511596679688</v>
      </c>
      <c r="G125" s="206"/>
      <c r="H125" s="206"/>
      <c r="I125" s="206"/>
      <c r="J125" s="206"/>
      <c r="K125" s="206"/>
      <c r="L125" s="206"/>
      <c r="M125" s="206"/>
      <c r="N125" s="206"/>
      <c r="O125" s="206"/>
    </row>
    <row r="126" spans="1:15" ht="18" customHeight="1">
      <c r="A126" s="174"/>
      <c r="B126" s="35" t="s">
        <v>193</v>
      </c>
      <c r="C126" s="31">
        <f ca="1">1163.297125*OFFSET($L$112,MATCH($N$1,$C$112:$C$113,0)-1,0)</f>
        <v>1163.2971250000001</v>
      </c>
      <c r="D126" s="31">
        <f ca="1">487.007839033019*OFFSET($L$112,MATCH($N$1,$C$112:$C$113,0)-1,0)</f>
        <v>487.00783903301902</v>
      </c>
      <c r="E126" s="31">
        <f ca="1">172.88678125*OFFSET($L$112,MATCH($N$1,$C$112:$C$113,0)-1,0)</f>
        <v>172.88678125000001</v>
      </c>
      <c r="F126" s="60">
        <f ca="1">576.6875625*OFFSET($L$112,MATCH($N$1,$C$112:$C$113,0)-1,0)</f>
        <v>576.68756250000001</v>
      </c>
      <c r="G126" s="206"/>
      <c r="H126" s="206"/>
      <c r="I126" s="206"/>
      <c r="J126" s="206"/>
      <c r="K126" s="206"/>
      <c r="L126" s="206"/>
      <c r="M126" s="206"/>
      <c r="N126" s="206"/>
      <c r="O126" s="206"/>
    </row>
    <row r="127" spans="1:15" ht="18" customHeight="1">
      <c r="A127" s="174"/>
      <c r="B127" s="35" t="s">
        <v>189</v>
      </c>
      <c r="C127" s="58">
        <v>226.46153259277344</v>
      </c>
      <c r="D127" s="58">
        <v>189.22641451853627</v>
      </c>
      <c r="E127" s="58">
        <v>149.15383911132813</v>
      </c>
      <c r="F127" s="59">
        <v>188.5238037109375</v>
      </c>
      <c r="G127" s="206"/>
      <c r="H127" s="206"/>
      <c r="I127" s="206"/>
      <c r="J127" s="206"/>
      <c r="K127" s="206"/>
      <c r="L127" s="206"/>
      <c r="M127" s="206"/>
      <c r="N127" s="206"/>
      <c r="O127" s="206"/>
    </row>
    <row r="128" spans="1:15" ht="18" customHeight="1">
      <c r="A128" s="174"/>
      <c r="B128" s="35" t="s">
        <v>194</v>
      </c>
      <c r="C128" s="58">
        <v>22.846153259277344</v>
      </c>
      <c r="D128" s="58">
        <v>31.60377423268444</v>
      </c>
      <c r="E128" s="58">
        <v>30.80769157409668</v>
      </c>
      <c r="F128" s="59">
        <v>29.238094329833984</v>
      </c>
      <c r="G128" s="206"/>
      <c r="H128" s="206"/>
      <c r="I128" s="206"/>
      <c r="J128" s="206"/>
      <c r="K128" s="206"/>
      <c r="L128" s="206"/>
      <c r="M128" s="206"/>
      <c r="N128" s="206"/>
      <c r="O128" s="206"/>
    </row>
    <row r="129" spans="1:15" ht="18" customHeight="1">
      <c r="A129" s="174"/>
      <c r="B129" s="35" t="s">
        <v>195</v>
      </c>
      <c r="C129" s="61">
        <v>2.1848533153533936</v>
      </c>
      <c r="D129" s="61">
        <v>1.0103352781217163</v>
      </c>
      <c r="E129" s="61">
        <v>0.44689741730690002</v>
      </c>
      <c r="F129" s="62">
        <v>1.2493124008178711</v>
      </c>
      <c r="G129" s="206"/>
      <c r="H129" s="206"/>
      <c r="I129" s="206"/>
      <c r="J129" s="206"/>
      <c r="K129" s="206"/>
      <c r="L129" s="206"/>
      <c r="M129" s="206"/>
      <c r="N129" s="206"/>
      <c r="O129" s="206"/>
    </row>
    <row r="130" spans="1:15" ht="18" customHeight="1">
      <c r="A130" s="175"/>
      <c r="B130" s="37" t="s">
        <v>196</v>
      </c>
      <c r="C130" s="38">
        <f ca="1">2351.11536149546*OFFSET($L$112,MATCH($N$1,$C$112:$C$113,0)-1,0)</f>
        <v>2351.1153614954601</v>
      </c>
      <c r="D130" s="38">
        <f ca="1">2547.35031487391*OFFSET($L$112,MATCH($N$1,$C$112:$C$113,0)-1,0)</f>
        <v>2547.3503148739101</v>
      </c>
      <c r="E130" s="38">
        <f ca="1">2593.69867306047*OFFSET($L$112,MATCH($N$1,$C$112:$C$113,0)-1,0)</f>
        <v>2593.6986730604699</v>
      </c>
      <c r="F130" s="63">
        <f ca="1">2449*OFFSET($L$112,MATCH($N$1,$C$112:$C$113,0)-1,0)</f>
        <v>2449</v>
      </c>
      <c r="G130" s="206"/>
      <c r="H130" s="206"/>
      <c r="I130" s="206"/>
      <c r="J130" s="206"/>
      <c r="K130" s="206"/>
      <c r="L130" s="206"/>
      <c r="M130" s="206"/>
      <c r="N130" s="206"/>
      <c r="O130" s="206"/>
    </row>
    <row r="131" spans="1:15" ht="18" customHeight="1">
      <c r="A131" s="184" t="s">
        <v>197</v>
      </c>
      <c r="B131" s="33" t="s">
        <v>198</v>
      </c>
      <c r="C131" s="64">
        <v>7.4457019394738841</v>
      </c>
      <c r="D131" s="64">
        <v>4.555938217247772</v>
      </c>
      <c r="E131" s="64">
        <v>1.8697727492123837</v>
      </c>
      <c r="F131" s="65">
        <v>5.0689963971070595</v>
      </c>
      <c r="G131" s="206"/>
      <c r="H131" s="206"/>
      <c r="I131" s="206"/>
      <c r="J131" s="206"/>
      <c r="K131" s="206"/>
      <c r="L131" s="206"/>
      <c r="M131" s="206"/>
      <c r="N131" s="206"/>
      <c r="O131" s="206"/>
    </row>
    <row r="132" spans="1:15" ht="18" customHeight="1">
      <c r="A132" s="185"/>
      <c r="B132" s="35" t="s">
        <v>199</v>
      </c>
      <c r="C132" s="61">
        <f ca="1">17.5057042070136*OFFSET($L$112,MATCH($N$1,$C$112:$C$113,0)-1,0)</f>
        <v>17.505704207013601</v>
      </c>
      <c r="D132" s="61">
        <f ca="1">11.6055706522522*OFFSET($L$112,MATCH($N$1,$C$112:$C$113,0)-1,0)</f>
        <v>11.605570652252201</v>
      </c>
      <c r="E132" s="61">
        <f ca="1">4.84962709855678*OFFSET($L$112,MATCH($N$1,$C$112:$C$113,0)-1,0)</f>
        <v>4.8496270985567804</v>
      </c>
      <c r="F132" s="62">
        <f ca="1">12.4115305689142*OFFSET($L$112,MATCH($N$1,$C$112:$C$113,0)-1,0)</f>
        <v>12.4115305689142</v>
      </c>
      <c r="G132" s="206"/>
      <c r="H132" s="206"/>
      <c r="I132" s="206"/>
      <c r="J132" s="206"/>
      <c r="K132" s="206"/>
      <c r="L132" s="206"/>
      <c r="M132" s="206"/>
      <c r="N132" s="206"/>
      <c r="O132" s="206"/>
    </row>
    <row r="133" spans="1:15" ht="18" customHeight="1">
      <c r="A133" s="185"/>
      <c r="B133" s="35" t="s">
        <v>154</v>
      </c>
      <c r="C133" s="61">
        <f ca="1">12.6428622905355*OFFSET($L$112,MATCH($N$1,$C$112:$C$113,0)-1,0)</f>
        <v>12.642862290535501</v>
      </c>
      <c r="D133" s="61">
        <f ca="1">9.08419252472333*OFFSET($L$112,MATCH($N$1,$C$112:$C$113,0)-1,0)</f>
        <v>9.0841925247233295</v>
      </c>
      <c r="E133" s="61">
        <f ca="1">4.48890924465105*OFFSET($L$112,MATCH($N$1,$C$112:$C$113,0)-1,0)</f>
        <v>4.4889092446510501</v>
      </c>
      <c r="F133" s="62">
        <f ca="1">9.47143238944048*OFFSET($L$112,MATCH($N$1,$C$112:$C$113,0)-1,0)</f>
        <v>9.4714323894404799</v>
      </c>
      <c r="G133" s="206"/>
      <c r="H133" s="206"/>
      <c r="I133" s="206"/>
      <c r="J133" s="206"/>
      <c r="K133" s="206"/>
      <c r="L133" s="206"/>
      <c r="M133" s="206"/>
      <c r="N133" s="206"/>
      <c r="O133" s="206"/>
    </row>
    <row r="134" spans="1:15" ht="18" customHeight="1">
      <c r="A134" s="186"/>
      <c r="B134" s="37" t="s">
        <v>155</v>
      </c>
      <c r="C134" s="66">
        <f ca="1">4.86284191647812*OFFSET($L$112,MATCH($N$1,$C$112:$C$113,0)-1,0)</f>
        <v>4.8628419164781196</v>
      </c>
      <c r="D134" s="66">
        <f ca="1">2.52137812752886*OFFSET($L$112,MATCH($N$1,$C$112:$C$113,0)-1,0)</f>
        <v>2.5213781275288598</v>
      </c>
      <c r="E134" s="66">
        <f ca="1">0.360717853905735*OFFSET($L$112,MATCH($N$1,$C$112:$C$113,0)-1,0)</f>
        <v>0.36071785390573502</v>
      </c>
      <c r="F134" s="67">
        <f ca="1">2.94009817947368*OFFSET($L$112,MATCH($N$1,$C$112:$C$113,0)-1,0)</f>
        <v>2.9400981794736798</v>
      </c>
      <c r="G134" s="206"/>
      <c r="H134" s="206"/>
      <c r="I134" s="206"/>
      <c r="J134" s="206"/>
      <c r="K134" s="206"/>
      <c r="L134" s="206"/>
      <c r="M134" s="206"/>
      <c r="N134" s="206"/>
      <c r="O134" s="206"/>
    </row>
    <row r="135" spans="1:15" ht="18" customHeight="1">
      <c r="A135" s="187" t="s">
        <v>254</v>
      </c>
      <c r="B135" s="35" t="s">
        <v>255</v>
      </c>
      <c r="C135" s="68">
        <f ca="1">79.96859375*OFFSET($L$112,MATCH($N$1,$C$112:$C$113,0)-1,0)</f>
        <v>79.968593749999997</v>
      </c>
      <c r="D135" s="68">
        <f ca="1">62.957098540684*OFFSET($L$112,MATCH($N$1,$C$112:$C$113,0)-1,0)</f>
        <v>62.957098540684001</v>
      </c>
      <c r="E135" s="68">
        <f ca="1">47.0508984375*OFFSET($L$112,MATCH($N$1,$C$112:$C$113,0)-1,0)</f>
        <v>47.050898437500003</v>
      </c>
      <c r="F135" s="69">
        <f ca="1">63.23079296875*OFFSET($L$112,MATCH($N$1,$C$112:$C$113,0)-1,0)</f>
        <v>63.230792968750002</v>
      </c>
      <c r="G135" s="206"/>
      <c r="H135" s="206"/>
      <c r="I135" s="206"/>
      <c r="J135" s="206"/>
      <c r="K135" s="206"/>
      <c r="L135" s="206"/>
      <c r="M135" s="206"/>
      <c r="N135" s="206"/>
      <c r="O135" s="206"/>
    </row>
    <row r="136" spans="1:15" ht="18" customHeight="1">
      <c r="A136" s="188"/>
      <c r="B136" s="35" t="s">
        <v>256</v>
      </c>
      <c r="C136" s="30">
        <v>152088.46360669471</v>
      </c>
      <c r="D136" s="30">
        <v>119835.84541925513</v>
      </c>
      <c r="E136" s="30">
        <v>89544.230560198426</v>
      </c>
      <c r="F136" s="70">
        <v>120321.42857142857</v>
      </c>
      <c r="G136" s="206"/>
      <c r="H136" s="206"/>
      <c r="I136" s="206"/>
      <c r="J136" s="206"/>
      <c r="K136" s="206"/>
      <c r="L136" s="206"/>
      <c r="M136" s="206"/>
      <c r="N136" s="206"/>
      <c r="O136" s="206"/>
    </row>
    <row r="137" spans="1:15" ht="18" customHeight="1">
      <c r="A137" s="188"/>
      <c r="B137" s="35" t="s">
        <v>257</v>
      </c>
      <c r="C137" s="30">
        <v>671.5863037109375</v>
      </c>
      <c r="D137" s="30">
        <v>633.29343170277218</v>
      </c>
      <c r="E137" s="30">
        <v>600.34814453125</v>
      </c>
      <c r="F137" s="70">
        <v>638.2293701171875</v>
      </c>
      <c r="G137" s="206"/>
      <c r="H137" s="206"/>
      <c r="I137" s="206"/>
      <c r="J137" s="206"/>
      <c r="K137" s="206"/>
      <c r="L137" s="206"/>
      <c r="M137" s="206"/>
      <c r="N137" s="206"/>
      <c r="O137" s="206"/>
    </row>
    <row r="138" spans="1:15" ht="18" customHeight="1">
      <c r="A138" s="188"/>
      <c r="B138" s="35" t="s">
        <v>258</v>
      </c>
      <c r="C138" s="30">
        <f ca="1">353.122196226592*OFFSET($L$112,MATCH($N$1,$C$112:$C$113,0)-1,0)</f>
        <v>353.122196226592</v>
      </c>
      <c r="D138" s="30">
        <f ca="1">332.707770745806*OFFSET($L$112,MATCH($N$1,$C$112:$C$113,0)-1,0)</f>
        <v>332.70777074580599</v>
      </c>
      <c r="E138" s="30">
        <f ca="1">315.45214469727*OFFSET($L$112,MATCH($N$1,$C$112:$C$113,0)-1,0)</f>
        <v>315.45214469727</v>
      </c>
      <c r="F138" s="70">
        <f ca="1">335.399518384964*OFFSET($L$112,MATCH($N$1,$C$112:$C$113,0)-1,0)</f>
        <v>335.39951838496398</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161.622843521439*OFFSET($L$112,MATCH($N$1,$C$112:$C$113,0)-1,0)</f>
        <v>161.62284352143899</v>
      </c>
      <c r="D139" s="30">
        <f ca="1">329.304319022031*OFFSET($L$112,MATCH($N$1,$C$112:$C$113,0)-1,0)</f>
        <v>329.304319022031</v>
      </c>
      <c r="E139" s="30">
        <f ca="1">705.871507129158*OFFSET($L$112,MATCH($N$1,$C$112:$C$113,0)-1,0)</f>
        <v>705.87150712915798</v>
      </c>
      <c r="F139" s="70">
        <f ca="1">268.467304258387*OFFSET($L$112,MATCH($N$1,$C$112:$C$113,0)-1,0)</f>
        <v>268.467304258387</v>
      </c>
      <c r="G139" s="206"/>
      <c r="H139" s="206"/>
      <c r="I139" s="46"/>
      <c r="J139" s="206"/>
      <c r="K139" s="71" t="s">
        <v>260</v>
      </c>
      <c r="L139" s="72">
        <f t="shared" ref="L139:M141" ca="1" si="2">C140</f>
        <v>1199.8786250000001</v>
      </c>
      <c r="M139" s="72">
        <f t="shared" ca="1" si="2"/>
        <v>502.32242275943401</v>
      </c>
      <c r="N139" s="72">
        <f ca="1">E140</f>
        <v>178.32342187500001</v>
      </c>
      <c r="O139" s="72"/>
    </row>
    <row r="140" spans="1:15" ht="18" customHeight="1">
      <c r="A140" s="166" t="s">
        <v>261</v>
      </c>
      <c r="B140" s="33" t="s">
        <v>262</v>
      </c>
      <c r="C140" s="73">
        <f ca="1">1199.878625*OFFSET($L$112,MATCH($N$1,$C$112:$C$113,0)-1,0)</f>
        <v>1199.8786250000001</v>
      </c>
      <c r="D140" s="73">
        <f ca="1">502.322422759434*OFFSET($L$112,MATCH($N$1,$C$112:$C$113,0)-1,0)</f>
        <v>502.32242275943401</v>
      </c>
      <c r="E140" s="73">
        <f ca="1">178.323421875*OFFSET($L$112,MATCH($N$1,$C$112:$C$113,0)-1,0)</f>
        <v>178.32342187500001</v>
      </c>
      <c r="F140" s="74">
        <f ca="1">594.8223125*OFFSET($L$112,MATCH($N$1,$C$112:$C$113,0)-1,0)</f>
        <v>594.82231249999995</v>
      </c>
      <c r="G140" s="206"/>
      <c r="H140" s="206"/>
      <c r="I140" s="46"/>
      <c r="J140" s="206"/>
      <c r="K140" s="71" t="s">
        <v>263</v>
      </c>
      <c r="L140" s="72">
        <f t="shared" ca="1" si="2"/>
        <v>876.73074999999994</v>
      </c>
      <c r="M140" s="72">
        <f t="shared" ca="1" si="2"/>
        <v>396.51712028301898</v>
      </c>
      <c r="N140" s="72">
        <f ca="1">E141</f>
        <v>165.464015625</v>
      </c>
      <c r="O140" s="72"/>
    </row>
    <row r="141" spans="1:15" ht="18" customHeight="1">
      <c r="A141" s="167"/>
      <c r="B141" s="35" t="s">
        <v>264</v>
      </c>
      <c r="C141" s="30">
        <f ca="1">876.73075*OFFSET($L$112,MATCH($N$1,$C$112:$C$113,0)-1,0)</f>
        <v>876.73074999999994</v>
      </c>
      <c r="D141" s="30">
        <f ca="1">396.517120283019*OFFSET($L$112,MATCH($N$1,$C$112:$C$113,0)-1,0)</f>
        <v>396.51712028301898</v>
      </c>
      <c r="E141" s="30">
        <f ca="1">165.464015625*OFFSET($L$112,MATCH($N$1,$C$112:$C$113,0)-1,0)</f>
        <v>165.464015625</v>
      </c>
      <c r="F141" s="70">
        <f ca="1">458.214*OFFSET($L$112,MATCH($N$1,$C$112:$C$113,0)-1,0)</f>
        <v>458.214</v>
      </c>
      <c r="G141" s="206"/>
      <c r="H141" s="206"/>
      <c r="I141" s="46"/>
      <c r="J141" s="206"/>
      <c r="K141" s="71" t="s">
        <v>265</v>
      </c>
      <c r="L141" s="72">
        <f t="shared" ca="1" si="2"/>
        <v>323.147875</v>
      </c>
      <c r="M141" s="72">
        <f t="shared" ca="1" si="2"/>
        <v>105.80530247641499</v>
      </c>
      <c r="N141" s="72">
        <f ca="1">E142</f>
        <v>12.859406249999999</v>
      </c>
      <c r="O141" s="72"/>
    </row>
    <row r="142" spans="1:15" ht="18" customHeight="1">
      <c r="A142" s="168"/>
      <c r="B142" s="37" t="s">
        <v>266</v>
      </c>
      <c r="C142" s="38">
        <f ca="1">323.147875*OFFSET($L$112,MATCH($N$1,$C$112:$C$113,0)-1,0)</f>
        <v>323.147875</v>
      </c>
      <c r="D142" s="38">
        <f ca="1">105.805302476415*OFFSET($L$112,MATCH($N$1,$C$112:$C$113,0)-1,0)</f>
        <v>105.80530247641499</v>
      </c>
      <c r="E142" s="38">
        <f ca="1">12.85940625*OFFSET($L$112,MATCH($N$1,$C$112:$C$113,0)-1,0)</f>
        <v>12.859406249999999</v>
      </c>
      <c r="F142" s="63">
        <f ca="1">136.608296875*OFFSET($L$112,MATCH($N$1,$C$112:$C$113,0)-1,0)</f>
        <v>136.60829687500001</v>
      </c>
      <c r="G142" s="206"/>
      <c r="H142" s="206"/>
      <c r="I142" s="46"/>
      <c r="J142" s="206"/>
      <c r="K142" s="71" t="s">
        <v>267</v>
      </c>
      <c r="L142" s="75">
        <f ca="1">IFERROR(L140/L$139,"")</f>
        <v>0.73068286386050085</v>
      </c>
      <c r="M142" s="75">
        <f t="shared" ref="M142:N143" ca="1" si="3">IFERROR(M140/M$139,"")</f>
        <v>0.78936774931290299</v>
      </c>
      <c r="N142" s="75">
        <f t="shared" ca="1" si="3"/>
        <v>0.92788717200024284</v>
      </c>
      <c r="O142" s="75"/>
    </row>
    <row r="143" spans="1:15" ht="18" customHeight="1">
      <c r="A143" s="206"/>
      <c r="B143" s="206"/>
      <c r="C143" s="206"/>
      <c r="D143" s="206"/>
      <c r="E143" s="206"/>
      <c r="F143" s="206"/>
      <c r="G143" s="206"/>
      <c r="H143" s="206"/>
      <c r="I143" s="46"/>
      <c r="J143" s="206"/>
      <c r="K143" s="71" t="s">
        <v>268</v>
      </c>
      <c r="L143" s="75">
        <f ca="1">IFERROR(L141/L$139,"")</f>
        <v>0.26931713613949909</v>
      </c>
      <c r="M143" s="75">
        <f t="shared" ca="1" si="3"/>
        <v>0.21063225068709696</v>
      </c>
      <c r="N143" s="75">
        <f t="shared" ca="1" si="3"/>
        <v>7.2112827999757101E-2</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9</v>
      </c>
      <c r="B161" s="51"/>
      <c r="C161" s="76" t="s">
        <v>249</v>
      </c>
      <c r="D161" s="76" t="s">
        <v>270</v>
      </c>
      <c r="E161" s="76" t="s">
        <v>251</v>
      </c>
      <c r="F161" s="76" t="s">
        <v>271</v>
      </c>
      <c r="G161" s="77">
        <v>10</v>
      </c>
      <c r="H161" s="76"/>
      <c r="I161" s="76" t="s">
        <v>249</v>
      </c>
      <c r="J161" s="76" t="s">
        <v>270</v>
      </c>
      <c r="K161" s="76" t="s">
        <v>251</v>
      </c>
      <c r="L161" s="51" t="s">
        <v>271</v>
      </c>
      <c r="R161" s="206"/>
      <c r="S161" s="206"/>
    </row>
    <row r="162" spans="1:19" s="46" customFormat="1">
      <c r="A162" s="47">
        <v>1</v>
      </c>
      <c r="B162" s="51" t="s">
        <v>170</v>
      </c>
      <c r="C162" s="51">
        <v>0.67691674937270185</v>
      </c>
      <c r="D162" s="51">
        <v>0.686842281699931</v>
      </c>
      <c r="E162" s="51">
        <v>0.53074462640556719</v>
      </c>
      <c r="F162" s="47">
        <v>12153634</v>
      </c>
      <c r="G162" s="47">
        <v>1</v>
      </c>
      <c r="H162" s="51" t="s">
        <v>170</v>
      </c>
      <c r="I162" s="51">
        <v>0.72447071538224372</v>
      </c>
      <c r="J162" s="51">
        <v>0.7073137887694575</v>
      </c>
      <c r="K162" s="51">
        <v>0.52185741654008289</v>
      </c>
      <c r="L162" s="47">
        <v>12153634</v>
      </c>
      <c r="R162" s="206"/>
      <c r="S162" s="206"/>
    </row>
    <row r="163" spans="1:19" s="46" customFormat="1">
      <c r="A163" s="47">
        <v>2</v>
      </c>
      <c r="B163" s="51" t="s">
        <v>378</v>
      </c>
      <c r="C163" s="51">
        <v>0.3079811058271355</v>
      </c>
      <c r="D163" s="51">
        <v>0.28272559192148883</v>
      </c>
      <c r="E163" s="51">
        <v>0.38753039839845538</v>
      </c>
      <c r="F163" s="47">
        <v>553960</v>
      </c>
      <c r="G163" s="47">
        <v>2</v>
      </c>
      <c r="H163" s="51" t="s">
        <v>378</v>
      </c>
      <c r="I163" s="51">
        <v>0.17528256156131966</v>
      </c>
      <c r="J163" s="51">
        <v>0.15829961376011994</v>
      </c>
      <c r="K163" s="51">
        <v>0.20706480020017798</v>
      </c>
      <c r="L163" s="47">
        <v>553960</v>
      </c>
      <c r="N163" s="46" t="s">
        <v>272</v>
      </c>
      <c r="R163" s="206"/>
      <c r="S163" s="206"/>
    </row>
    <row r="164" spans="1:19" s="46" customFormat="1">
      <c r="A164" s="47">
        <v>3</v>
      </c>
      <c r="B164" s="51" t="s">
        <v>167</v>
      </c>
      <c r="C164" s="51">
        <v>1.4061486101438668E-2</v>
      </c>
      <c r="D164" s="51">
        <v>1.7553315189499513E-2</v>
      </c>
      <c r="E164" s="51">
        <v>4.2378947354333861E-2</v>
      </c>
      <c r="F164" s="47">
        <v>3050596</v>
      </c>
      <c r="G164" s="47">
        <v>3</v>
      </c>
      <c r="H164" s="51" t="s">
        <v>167</v>
      </c>
      <c r="I164" s="51">
        <v>9.9676562533104238E-2</v>
      </c>
      <c r="J164" s="51">
        <v>0.10681977430841798</v>
      </c>
      <c r="K164" s="51">
        <v>0.23969359350345162</v>
      </c>
      <c r="L164" s="47">
        <v>3050596</v>
      </c>
      <c r="N164" s="46" t="s">
        <v>273</v>
      </c>
      <c r="R164" s="206"/>
      <c r="S164" s="206"/>
    </row>
    <row r="165" spans="1:19" s="46" customFormat="1">
      <c r="A165" s="47">
        <v>4</v>
      </c>
      <c r="B165" s="51" t="s">
        <v>160</v>
      </c>
      <c r="C165" s="51">
        <v>0</v>
      </c>
      <c r="D165" s="51">
        <v>7.6016377601579458E-3</v>
      </c>
      <c r="E165" s="51">
        <v>0</v>
      </c>
      <c r="F165" s="47">
        <v>1692097</v>
      </c>
      <c r="G165" s="47">
        <v>4</v>
      </c>
      <c r="H165" s="51" t="s">
        <v>160</v>
      </c>
      <c r="I165" s="51">
        <v>0</v>
      </c>
      <c r="J165" s="51">
        <v>2.3691541951354513E-2</v>
      </c>
      <c r="K165" s="51">
        <v>0</v>
      </c>
      <c r="L165" s="47">
        <v>1692097</v>
      </c>
      <c r="R165" s="206"/>
      <c r="S165" s="206"/>
    </row>
    <row r="166" spans="1:19" s="46" customFormat="1">
      <c r="A166" s="47">
        <v>5</v>
      </c>
      <c r="B166" s="51" t="s">
        <v>172</v>
      </c>
      <c r="C166" s="51">
        <v>0</v>
      </c>
      <c r="D166" s="51">
        <v>1.6434931027715246E-3</v>
      </c>
      <c r="E166" s="51">
        <v>2.4500769301530279E-2</v>
      </c>
      <c r="F166" s="47">
        <v>3689192</v>
      </c>
      <c r="G166" s="47">
        <v>5</v>
      </c>
      <c r="H166" s="51" t="s">
        <v>172</v>
      </c>
      <c r="I166" s="51">
        <v>0</v>
      </c>
      <c r="J166" s="51">
        <v>1.436200398917402E-3</v>
      </c>
      <c r="K166" s="51">
        <v>2.2967487953625434E-2</v>
      </c>
      <c r="L166" s="47">
        <v>3689192</v>
      </c>
      <c r="R166" s="206"/>
      <c r="S166" s="206"/>
    </row>
    <row r="167" spans="1:19" s="46" customFormat="1">
      <c r="A167" s="47">
        <v>6</v>
      </c>
      <c r="B167" s="51" t="s">
        <v>521</v>
      </c>
      <c r="C167" s="51">
        <v>0</v>
      </c>
      <c r="D167" s="51">
        <v>0</v>
      </c>
      <c r="E167" s="51">
        <v>1.2107544930745253E-2</v>
      </c>
      <c r="F167" s="47">
        <v>11115023</v>
      </c>
      <c r="G167" s="47">
        <v>6</v>
      </c>
      <c r="H167" s="51" t="s">
        <v>521</v>
      </c>
      <c r="I167" s="51">
        <v>0</v>
      </c>
      <c r="J167" s="51">
        <v>0</v>
      </c>
      <c r="K167" s="51">
        <v>4.5275241818408226E-3</v>
      </c>
      <c r="L167" s="47">
        <v>11115023</v>
      </c>
      <c r="R167" s="206"/>
      <c r="S167" s="206"/>
    </row>
    <row r="168" spans="1:19" s="46" customFormat="1">
      <c r="A168" s="47">
        <v>7</v>
      </c>
      <c r="B168" s="51" t="s">
        <v>379</v>
      </c>
      <c r="C168" s="51">
        <v>2.8378280738756951E-4</v>
      </c>
      <c r="D168" s="51">
        <v>0</v>
      </c>
      <c r="E168" s="51">
        <v>0</v>
      </c>
      <c r="F168" s="47">
        <v>2480382</v>
      </c>
      <c r="G168" s="47">
        <v>7</v>
      </c>
      <c r="H168" s="51" t="s">
        <v>379</v>
      </c>
      <c r="I168" s="51">
        <v>2.2369740720883417E-4</v>
      </c>
      <c r="J168" s="51">
        <v>0</v>
      </c>
      <c r="K168" s="51">
        <v>0</v>
      </c>
      <c r="L168" s="47">
        <v>2480382</v>
      </c>
      <c r="R168" s="206"/>
      <c r="S168" s="206"/>
    </row>
    <row r="169" spans="1:19" s="46" customFormat="1">
      <c r="A169" s="47">
        <v>8</v>
      </c>
      <c r="B169" s="51" t="s">
        <v>245</v>
      </c>
      <c r="C169" s="51">
        <v>2.297629521176292E-4</v>
      </c>
      <c r="D169" s="51">
        <v>3.6336803261510786E-3</v>
      </c>
      <c r="E169" s="51">
        <v>2.737713609368031E-3</v>
      </c>
      <c r="F169" s="47">
        <v>5920853</v>
      </c>
      <c r="G169" s="47">
        <v>8</v>
      </c>
      <c r="H169" s="51" t="s">
        <v>522</v>
      </c>
      <c r="I169" s="51">
        <v>1.5412625721257593E-4</v>
      </c>
      <c r="J169" s="51">
        <v>0</v>
      </c>
      <c r="K169" s="51">
        <v>0</v>
      </c>
      <c r="L169" s="47">
        <v>7434864</v>
      </c>
      <c r="R169" s="206"/>
      <c r="S169" s="206"/>
    </row>
    <row r="170" spans="1:19" s="46" customFormat="1">
      <c r="A170" s="47">
        <v>9</v>
      </c>
      <c r="B170" s="51"/>
      <c r="C170" s="51">
        <v>5.2711293921876921E-4</v>
      </c>
      <c r="D170" s="51">
        <v>0</v>
      </c>
      <c r="E170" s="51">
        <v>0</v>
      </c>
      <c r="F170" s="47">
        <v>11115023</v>
      </c>
      <c r="G170" s="47">
        <v>9</v>
      </c>
      <c r="H170" s="51" t="s">
        <v>245</v>
      </c>
      <c r="I170" s="51">
        <v>1.9233685891095753E-4</v>
      </c>
      <c r="J170" s="51">
        <v>2.439080811732719E-3</v>
      </c>
      <c r="K170" s="51">
        <v>3.8891776208211937E-3</v>
      </c>
      <c r="L170" s="47">
        <v>5920853</v>
      </c>
      <c r="R170" s="206"/>
      <c r="S170" s="206"/>
    </row>
    <row r="171" spans="1:19" s="46" customFormat="1">
      <c r="A171" s="47">
        <v>10</v>
      </c>
      <c r="B171" s="51"/>
      <c r="C171" s="51">
        <v>5.2711293921876921E-4</v>
      </c>
      <c r="D171" s="51">
        <v>0</v>
      </c>
      <c r="E171" s="51">
        <v>0</v>
      </c>
      <c r="F171" s="47">
        <v>11115023</v>
      </c>
      <c r="G171" s="47">
        <v>10</v>
      </c>
      <c r="H171" s="51"/>
      <c r="I171" s="51">
        <v>0</v>
      </c>
      <c r="J171" s="51">
        <v>0</v>
      </c>
      <c r="K171" s="51">
        <v>0</v>
      </c>
      <c r="L171" s="47">
        <v>11115023</v>
      </c>
      <c r="R171" s="206"/>
      <c r="S171" s="206"/>
    </row>
    <row r="172" spans="1:19" s="46" customFormat="1">
      <c r="A172" s="47">
        <v>11</v>
      </c>
      <c r="B172" s="51"/>
      <c r="C172" s="51">
        <v>5.2711293921876921E-4</v>
      </c>
      <c r="D172" s="51">
        <v>0</v>
      </c>
      <c r="E172" s="51">
        <v>0</v>
      </c>
      <c r="F172" s="47">
        <v>11115023</v>
      </c>
      <c r="G172" s="47">
        <v>11</v>
      </c>
      <c r="H172" s="51"/>
      <c r="I172" s="51">
        <v>0</v>
      </c>
      <c r="J172" s="51">
        <v>0</v>
      </c>
      <c r="K172" s="51">
        <v>0</v>
      </c>
      <c r="L172" s="47">
        <v>11115023</v>
      </c>
      <c r="R172" s="206"/>
      <c r="S172" s="206"/>
    </row>
    <row r="173" spans="1:19" s="46" customFormat="1">
      <c r="A173" s="47">
        <v>12</v>
      </c>
      <c r="B173" s="51"/>
      <c r="C173" s="51">
        <v>5.2711293921876921E-4</v>
      </c>
      <c r="D173" s="51">
        <v>0</v>
      </c>
      <c r="E173" s="51">
        <v>0</v>
      </c>
      <c r="F173" s="47">
        <v>11115023</v>
      </c>
      <c r="G173" s="47">
        <v>12</v>
      </c>
      <c r="H173" s="51"/>
      <c r="I173" s="51">
        <v>0</v>
      </c>
      <c r="J173" s="51">
        <v>0</v>
      </c>
      <c r="K173" s="51">
        <v>0</v>
      </c>
      <c r="L173" s="47">
        <v>11115023</v>
      </c>
      <c r="R173" s="206"/>
      <c r="S173" s="206"/>
    </row>
    <row r="174" spans="1:19" s="46" customFormat="1">
      <c r="A174" s="47">
        <v>13</v>
      </c>
      <c r="B174" s="51"/>
      <c r="C174" s="51">
        <v>5.2711293921876921E-4</v>
      </c>
      <c r="D174" s="51">
        <v>0</v>
      </c>
      <c r="E174" s="51">
        <v>0</v>
      </c>
      <c r="F174" s="47">
        <v>11115023</v>
      </c>
      <c r="G174" s="47">
        <v>13</v>
      </c>
      <c r="H174" s="51"/>
      <c r="I174" s="51">
        <v>0</v>
      </c>
      <c r="J174" s="51">
        <v>0</v>
      </c>
      <c r="K174" s="51">
        <v>0</v>
      </c>
      <c r="L174" s="47">
        <v>11115023</v>
      </c>
      <c r="R174" s="206"/>
      <c r="S174" s="206"/>
    </row>
    <row r="175" spans="1:19" s="46" customFormat="1">
      <c r="A175" s="47">
        <v>14</v>
      </c>
      <c r="B175" s="51"/>
      <c r="C175" s="51">
        <v>5.2711293921876921E-4</v>
      </c>
      <c r="D175" s="51">
        <v>0</v>
      </c>
      <c r="E175" s="51">
        <v>0</v>
      </c>
      <c r="F175" s="47">
        <v>11115023</v>
      </c>
      <c r="G175" s="47">
        <v>14</v>
      </c>
      <c r="H175" s="51"/>
      <c r="I175" s="51">
        <v>0</v>
      </c>
      <c r="J175" s="51">
        <v>0</v>
      </c>
      <c r="K175" s="51">
        <v>0</v>
      </c>
      <c r="L175" s="47">
        <v>11115023</v>
      </c>
      <c r="R175" s="206"/>
      <c r="S175" s="206"/>
    </row>
    <row r="176" spans="1:19" s="46" customFormat="1">
      <c r="A176" s="47">
        <v>15</v>
      </c>
      <c r="B176" s="51"/>
      <c r="C176" s="51">
        <v>5.2711293921876921E-4</v>
      </c>
      <c r="D176" s="51">
        <v>0</v>
      </c>
      <c r="E176" s="51">
        <v>0</v>
      </c>
      <c r="F176" s="47">
        <v>11115023</v>
      </c>
      <c r="G176" s="47">
        <v>15</v>
      </c>
      <c r="H176" s="51"/>
      <c r="I176" s="51">
        <v>0</v>
      </c>
      <c r="J176" s="51">
        <v>0</v>
      </c>
      <c r="K176" s="51">
        <v>0</v>
      </c>
      <c r="L176" s="47">
        <v>11115023</v>
      </c>
      <c r="R176" s="206"/>
      <c r="S176" s="206"/>
    </row>
    <row r="177" spans="1:19" s="46" customFormat="1">
      <c r="A177" s="47">
        <v>16</v>
      </c>
      <c r="B177" s="51"/>
      <c r="C177" s="51">
        <v>0</v>
      </c>
      <c r="D177" s="51">
        <v>0</v>
      </c>
      <c r="E177" s="51">
        <v>0</v>
      </c>
      <c r="F177" s="47">
        <v>11115023</v>
      </c>
      <c r="G177" s="47">
        <v>16</v>
      </c>
      <c r="H177" s="51"/>
      <c r="I177" s="51">
        <v>0</v>
      </c>
      <c r="J177" s="51">
        <v>0</v>
      </c>
      <c r="K177" s="51">
        <v>0</v>
      </c>
      <c r="L177" s="47">
        <v>11115023</v>
      </c>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87668691-A007-434C-9F6F-A6A4414011B2}">
      <formula1>$C$112:$C$113</formula1>
    </dataValidation>
  </dataValidations>
  <hyperlinks>
    <hyperlink ref="O1:P1" location="Home_page" display="Back to home page" xr:uid="{A45048CC-3A3C-4876-A22F-F0DC9621801B}"/>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9573E557-3E26-49D6-A49E-912A5D2A2AFD}">
          <x14:colorSeries rgb="FF323232"/>
          <x14:colorNegative rgb="FFD00000"/>
          <x14:colorAxis rgb="FF000000"/>
          <x14:colorMarkers rgb="FFD00000"/>
          <x14:colorFirst rgb="FFD00000"/>
          <x14:colorLast rgb="FFD00000"/>
          <x14:colorHigh rgb="FFD00000"/>
          <x14:colorLow rgb="FFD00000"/>
          <x14:sparklines>
            <x14:sparkline>
              <xm:f>'Pots and traps over 12m'!D3:N3</xm:f>
              <xm:sqref>C3</xm:sqref>
            </x14:sparkline>
            <x14:sparkline>
              <xm:f>'Pots and traps over 12m'!D4:N4</xm:f>
              <xm:sqref>C4</xm:sqref>
            </x14:sparkline>
            <x14:sparkline>
              <xm:f>'Pots and traps over 12m'!D5:N5</xm:f>
              <xm:sqref>C5</xm:sqref>
            </x14:sparkline>
            <x14:sparkline>
              <xm:f>'Pots and traps over 12m'!D6:N6</xm:f>
              <xm:sqref>C6</xm:sqref>
            </x14:sparkline>
            <x14:sparkline>
              <xm:f>'Pots and traps over 12m'!D7:N7</xm:f>
              <xm:sqref>C7</xm:sqref>
            </x14:sparkline>
            <x14:sparkline>
              <xm:f>'Pots and traps over 12m'!D8:N8</xm:f>
              <xm:sqref>C8</xm:sqref>
            </x14:sparkline>
            <x14:sparkline>
              <xm:f>'Pots and traps over 12m'!D9:N9</xm:f>
              <xm:sqref>C9</xm:sqref>
            </x14:sparkline>
            <x14:sparkline>
              <xm:f>'Pots and traps over 12m'!D10:N10</xm:f>
              <xm:sqref>C10</xm:sqref>
            </x14:sparkline>
            <x14:sparkline>
              <xm:f>'Pots and traps over 12m'!D11:N11</xm:f>
              <xm:sqref>C11</xm:sqref>
            </x14:sparkline>
            <x14:sparkline>
              <xm:f>'Pots and traps over 12m'!D12:N12</xm:f>
              <xm:sqref>C12</xm:sqref>
            </x14:sparkline>
            <x14:sparkline>
              <xm:f>'Pots and traps over 12m'!D13:N13</xm:f>
              <xm:sqref>C13</xm:sqref>
            </x14:sparkline>
            <x14:sparkline>
              <xm:f>'Pots and traps over 12m'!D14:N14</xm:f>
              <xm:sqref>C14</xm:sqref>
            </x14:sparkline>
            <x14:sparkline>
              <xm:f>'Pots and traps over 12m'!D15:N15</xm:f>
              <xm:sqref>C15</xm:sqref>
            </x14:sparkline>
            <x14:sparkline>
              <xm:f>'Pots and traps over 12m'!D16:N16</xm:f>
              <xm:sqref>C16</xm:sqref>
            </x14:sparkline>
            <x14:sparkline>
              <xm:f>'Pots and traps over 12m'!D17:N17</xm:f>
              <xm:sqref>C17</xm:sqref>
            </x14:sparkline>
            <x14:sparkline>
              <xm:f>'Pots and traps over 12m'!D18:N18</xm:f>
              <xm:sqref>C18</xm:sqref>
            </x14:sparkline>
            <x14:sparkline>
              <xm:f>'Pots and traps over 12m'!D19:N19</xm:f>
              <xm:sqref>C19</xm:sqref>
            </x14:sparkline>
            <x14:sparkline>
              <xm:f>'Pots and traps over 12m'!D20:N20</xm:f>
              <xm:sqref>C20</xm:sqref>
            </x14:sparkline>
            <x14:sparkline>
              <xm:f>'Pots and traps over 12m'!D21:N21</xm:f>
              <xm:sqref>C21</xm:sqref>
            </x14:sparkline>
            <x14:sparkline>
              <xm:f>'Pots and traps over 12m'!D22:N22</xm:f>
              <xm:sqref>C22</xm:sqref>
            </x14:sparkline>
            <x14:sparkline>
              <xm:f>'Pots and traps over 12m'!D23:N23</xm:f>
              <xm:sqref>C23</xm:sqref>
            </x14:sparkline>
            <x14:sparkline>
              <xm:f>'Pots and traps over 12m'!D24:N24</xm:f>
              <xm:sqref>C24</xm:sqref>
            </x14:sparkline>
            <x14:sparkline>
              <xm:f>'Pots and traps over 12m'!D25:N25</xm:f>
              <xm:sqref>C25</xm:sqref>
            </x14:sparkline>
            <x14:sparkline>
              <xm:f>'Pots and traps over 12m'!D26:N26</xm:f>
              <xm:sqref>C26</xm:sqref>
            </x14:sparkline>
            <x14:sparkline>
              <xm:f>'Pots and traps over 12m'!D27:N27</xm:f>
              <xm:sqref>C27</xm:sqref>
            </x14:sparkline>
            <x14:sparkline>
              <xm:f>'Pots and traps over 12m'!D28:N28</xm:f>
              <xm:sqref>C28</xm:sqref>
            </x14:sparkline>
            <x14:sparkline>
              <xm:f>'Pots and traps over 12m'!D29:N29</xm:f>
              <xm:sqref>C29</xm:sqref>
            </x14:sparkline>
            <x14:sparkline>
              <xm:f>'Pots and traps over 12m'!D30:N30</xm:f>
              <xm:sqref>C30</xm:sqref>
            </x14:sparkline>
            <x14:sparkline>
              <xm:f>'Pots and traps over 12m'!D31:N31</xm:f>
              <xm:sqref>C31</xm:sqref>
            </x14:sparkline>
            <x14:sparkline>
              <xm:f>'Pots and traps over 12m'!D32:N32</xm:f>
              <xm:sqref>C32</xm:sqref>
            </x14:sparkline>
            <x14:sparkline>
              <xm:f>'Pots and traps over 12m'!D33:N33</xm:f>
              <xm:sqref>C33</xm:sqref>
            </x14:sparkline>
            <x14:sparkline>
              <xm:f>'Pots and traps over 12m'!D34:N34</xm:f>
              <xm:sqref>C34</xm:sqref>
            </x14:sparkline>
            <x14:sparkline>
              <xm:f>'Pots and traps over 12m'!D35:N35</xm:f>
              <xm:sqref>C35</xm:sqref>
            </x14:sparkline>
            <x14:sparkline>
              <xm:f>'Pots and traps over 12m'!D36:N36</xm:f>
              <xm:sqref>C36</xm:sqref>
            </x14:sparkline>
            <x14:sparkline>
              <xm:f>'Pots and traps over 12m'!D37:N37</xm:f>
              <xm:sqref>C37</xm:sqref>
            </x14:sparkline>
            <x14:sparkline>
              <xm:f>'Pots and traps over 12m'!D38:N38</xm:f>
              <xm:sqref>C38</xm:sqref>
            </x14:sparkline>
            <x14:sparkline>
              <xm:f>'Pots and traps over 12m'!D39:N39</xm:f>
              <xm:sqref>C39</xm:sqref>
            </x14:sparkline>
            <x14:sparkline>
              <xm:f>'Pots and traps over 12m'!D40:N40</xm:f>
              <xm:sqref>C40</xm:sqref>
            </x14:sparkline>
            <x14:sparkline>
              <xm:f>'Pots and traps over 12m'!D41:N41</xm:f>
              <xm:sqref>C41</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E2866-AE61-4E6D-B0F6-89E44AD42882}">
  <sheetPr codeName="Feuil29">
    <pageSetUpPr fitToPage="1"/>
  </sheetPr>
  <dimension ref="A1:S192"/>
  <sheetViews>
    <sheetView topLeftCell="A40"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31</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22</v>
      </c>
      <c r="E3" s="27">
        <v>22</v>
      </c>
      <c r="F3" s="27">
        <v>19</v>
      </c>
      <c r="G3" s="27">
        <v>19</v>
      </c>
      <c r="H3" s="27">
        <v>20</v>
      </c>
      <c r="I3" s="27">
        <v>22</v>
      </c>
      <c r="J3" s="27">
        <v>23</v>
      </c>
      <c r="K3" s="27">
        <v>26</v>
      </c>
      <c r="L3" s="27">
        <v>26</v>
      </c>
      <c r="M3" s="27">
        <v>26</v>
      </c>
      <c r="N3" s="27">
        <v>24</v>
      </c>
      <c r="O3" s="28">
        <f t="shared" ref="O3:O41" si="0">IF(N3=0,"",IFERROR(IF(AND(N3&gt;0,D3&lt;0),"na",IF(AND(N3&lt;0,D3&lt;0),-1,1)*(N3-D3)/D3),""))</f>
        <v>9.0909090909090912E-2</v>
      </c>
      <c r="P3" s="28">
        <f t="shared" ref="P3:P41" si="1">IF(N3=0,"",IFERROR(IF(AND(N3&gt;0,J3&lt;0),"na",IF(AND(N3&lt;0,J3&lt;0),-1,1)*(N3-J3)/J3),""))</f>
        <v>4.3478260869565216E-2</v>
      </c>
      <c r="Q3" s="206"/>
    </row>
    <row r="4" spans="1:17" ht="18" customHeight="1">
      <c r="A4" s="172"/>
      <c r="B4" s="29" t="s">
        <v>184</v>
      </c>
      <c r="C4" s="30"/>
      <c r="D4" s="30">
        <v>13170</v>
      </c>
      <c r="E4" s="30">
        <v>13241</v>
      </c>
      <c r="F4" s="30">
        <v>11526</v>
      </c>
      <c r="G4" s="30">
        <v>11424</v>
      </c>
      <c r="H4" s="30">
        <v>12125</v>
      </c>
      <c r="I4" s="30">
        <v>13465</v>
      </c>
      <c r="J4" s="30">
        <v>13971</v>
      </c>
      <c r="K4" s="30">
        <v>16196</v>
      </c>
      <c r="L4" s="30">
        <v>16196</v>
      </c>
      <c r="M4" s="30">
        <v>16245</v>
      </c>
      <c r="N4" s="30">
        <v>14716</v>
      </c>
      <c r="O4" s="28">
        <f t="shared" si="0"/>
        <v>0.11738800303720577</v>
      </c>
      <c r="P4" s="28">
        <f t="shared" si="1"/>
        <v>5.3324744112805099E-2</v>
      </c>
      <c r="Q4" s="206"/>
    </row>
    <row r="5" spans="1:17" ht="18" customHeight="1">
      <c r="A5" s="172"/>
      <c r="B5" s="29" t="s">
        <v>185</v>
      </c>
      <c r="C5" s="30"/>
      <c r="D5" s="30">
        <v>3464</v>
      </c>
      <c r="E5" s="30">
        <v>3497</v>
      </c>
      <c r="F5" s="30">
        <v>3087</v>
      </c>
      <c r="G5" s="30">
        <v>3141</v>
      </c>
      <c r="H5" s="30">
        <v>3308</v>
      </c>
      <c r="I5" s="30">
        <v>3773</v>
      </c>
      <c r="J5" s="30">
        <v>3893</v>
      </c>
      <c r="K5" s="30">
        <v>4437</v>
      </c>
      <c r="L5" s="30">
        <v>4437</v>
      </c>
      <c r="M5" s="30">
        <v>4602</v>
      </c>
      <c r="N5" s="30">
        <v>4503</v>
      </c>
      <c r="O5" s="28">
        <f t="shared" si="0"/>
        <v>0.29994226327944573</v>
      </c>
      <c r="P5" s="28">
        <f t="shared" si="1"/>
        <v>0.15669149755972259</v>
      </c>
      <c r="Q5" s="207"/>
    </row>
    <row r="6" spans="1:17" ht="18" customHeight="1">
      <c r="A6" s="172"/>
      <c r="B6" s="29" t="s">
        <v>186</v>
      </c>
      <c r="C6" s="30"/>
      <c r="D6" s="30">
        <v>10114.748046875</v>
      </c>
      <c r="E6" s="30">
        <v>10150.666015625</v>
      </c>
      <c r="F6" s="30">
        <v>8862.1005859375</v>
      </c>
      <c r="G6" s="30">
        <v>8853.3505859375</v>
      </c>
      <c r="H6" s="30">
        <v>9365.8505859375</v>
      </c>
      <c r="I6" s="30">
        <v>10416.4150390625</v>
      </c>
      <c r="J6" s="30">
        <v>10847.42578125</v>
      </c>
      <c r="K6" s="30">
        <v>12544.0810546875</v>
      </c>
      <c r="L6" s="30">
        <v>12544.0810546875</v>
      </c>
      <c r="M6" s="30">
        <v>12698.7822265625</v>
      </c>
      <c r="N6" s="30">
        <v>11728.4375</v>
      </c>
      <c r="O6" s="28">
        <f t="shared" si="0"/>
        <v>0.1595382747693411</v>
      </c>
      <c r="P6" s="28">
        <f t="shared" si="1"/>
        <v>8.1218506262826617E-2</v>
      </c>
      <c r="Q6" s="206"/>
    </row>
    <row r="7" spans="1:17" ht="18" customHeight="1">
      <c r="A7" s="172"/>
      <c r="B7" s="29" t="s">
        <v>187</v>
      </c>
      <c r="C7" s="30"/>
      <c r="D7" s="30">
        <v>5578.9619140625</v>
      </c>
      <c r="E7" s="30">
        <v>6131.6708984375</v>
      </c>
      <c r="F7" s="30">
        <v>5797.1298828125</v>
      </c>
      <c r="G7" s="30">
        <v>5539.44287109375</v>
      </c>
      <c r="H7" s="30">
        <v>5359.58837890625</v>
      </c>
      <c r="I7" s="30">
        <v>6152.73388671875</v>
      </c>
      <c r="J7" s="30">
        <v>6505.96044921875</v>
      </c>
      <c r="K7" s="30">
        <v>7744.201171875</v>
      </c>
      <c r="L7" s="30">
        <v>6921.72607421875</v>
      </c>
      <c r="M7" s="30">
        <v>7256.64990234375</v>
      </c>
      <c r="N7" s="30">
        <v>6722.15234375</v>
      </c>
      <c r="O7" s="28">
        <f t="shared" si="0"/>
        <v>0.20491095786223951</v>
      </c>
      <c r="P7" s="28">
        <f t="shared" si="1"/>
        <v>3.3229819981031514E-2</v>
      </c>
      <c r="Q7" s="206"/>
    </row>
    <row r="8" spans="1:17" ht="18" customHeight="1">
      <c r="A8" s="172"/>
      <c r="B8" s="29" t="s">
        <v>188</v>
      </c>
      <c r="C8" s="31"/>
      <c r="D8" s="31">
        <f ca="1">17.757454*OFFSET(D$112,MATCH($N$1,$C$112:$C$113,0)-1,0)</f>
        <v>17.757453999999999</v>
      </c>
      <c r="E8" s="31">
        <f ca="1">21.09279*OFFSET(E$112,MATCH($N$1,$C$112:$C$113,0)-1,0)</f>
        <v>21.092790000000001</v>
      </c>
      <c r="F8" s="31">
        <f ca="1">16.670797*OFFSET(F$112,MATCH($N$1,$C$112:$C$113,0)-1,0)</f>
        <v>16.670797</v>
      </c>
      <c r="G8" s="31">
        <f ca="1">15.878081*OFFSET(G$112,MATCH($N$1,$C$112:$C$113,0)-1,0)</f>
        <v>15.878081</v>
      </c>
      <c r="H8" s="31">
        <f ca="1">15.694638*OFFSET(H$112,MATCH($N$1,$C$112:$C$113,0)-1,0)</f>
        <v>15.694637999999999</v>
      </c>
      <c r="I8" s="31">
        <f ca="1">16.84263*OFFSET(I$112,MATCH($N$1,$C$112:$C$113,0)-1,0)</f>
        <v>16.84263</v>
      </c>
      <c r="J8" s="31">
        <f ca="1">21.592262*OFFSET(J$112,MATCH($N$1,$C$112:$C$113,0)-1,0)</f>
        <v>21.592262000000002</v>
      </c>
      <c r="K8" s="31">
        <f ca="1">28.487342*OFFSET(K$112,MATCH($N$1,$C$112:$C$113,0)-1,0)</f>
        <v>28.487342000000002</v>
      </c>
      <c r="L8" s="31">
        <f ca="1">26.915768*OFFSET(L$112,MATCH($N$1,$C$112:$C$113,0)-1,0)</f>
        <v>26.915768</v>
      </c>
      <c r="M8" s="31">
        <f ca="1">26.263796*OFFSET(M$112,MATCH($N$1,$C$112:$C$113,0)-1,0)</f>
        <v>26.263795999999999</v>
      </c>
      <c r="N8" s="31">
        <v>21.642147999999999</v>
      </c>
      <c r="O8" s="28">
        <f t="shared" ca="1" si="0"/>
        <v>0.21876413138955617</v>
      </c>
      <c r="P8" s="28">
        <f t="shared" ca="1" si="1"/>
        <v>2.3103647037997781E-3</v>
      </c>
      <c r="Q8" s="206"/>
    </row>
    <row r="9" spans="1:17" ht="18" customHeight="1">
      <c r="A9" s="172"/>
      <c r="B9" s="29" t="s">
        <v>189</v>
      </c>
      <c r="C9" s="30"/>
      <c r="D9" s="30">
        <v>4668</v>
      </c>
      <c r="E9" s="30">
        <v>4916</v>
      </c>
      <c r="F9" s="30">
        <v>4115</v>
      </c>
      <c r="G9" s="30">
        <v>4099</v>
      </c>
      <c r="H9" s="30">
        <v>4315</v>
      </c>
      <c r="I9" s="30">
        <v>4443</v>
      </c>
      <c r="J9" s="30">
        <v>4806</v>
      </c>
      <c r="K9" s="30">
        <v>5861</v>
      </c>
      <c r="L9" s="30">
        <v>5474</v>
      </c>
      <c r="M9" s="30">
        <v>5237</v>
      </c>
      <c r="N9" s="30">
        <v>5108</v>
      </c>
      <c r="O9" s="28">
        <f t="shared" si="0"/>
        <v>9.4258783204798635E-2</v>
      </c>
      <c r="P9" s="28">
        <f t="shared" si="1"/>
        <v>6.2838119017894295E-2</v>
      </c>
      <c r="Q9" s="206"/>
    </row>
    <row r="10" spans="1:17" ht="18" customHeight="1">
      <c r="A10" s="172"/>
      <c r="B10" s="29" t="s">
        <v>190</v>
      </c>
      <c r="C10" s="30"/>
      <c r="D10" s="30">
        <v>157.74623107910156</v>
      </c>
      <c r="E10" s="30">
        <v>157.260986328125</v>
      </c>
      <c r="F10" s="30">
        <v>173.16694641113281</v>
      </c>
      <c r="G10" s="30">
        <v>145.90036010742188</v>
      </c>
      <c r="H10" s="30">
        <v>122.86263275146484</v>
      </c>
      <c r="I10" s="30">
        <v>132.58758544921875</v>
      </c>
      <c r="J10" s="30">
        <v>154.84120178222656</v>
      </c>
      <c r="K10" s="30">
        <v>185.12898254394531</v>
      </c>
      <c r="L10" s="30">
        <v>158.53500366210938</v>
      </c>
      <c r="M10" s="30">
        <v>156.25848388671875</v>
      </c>
      <c r="N10" s="30">
        <v>152.55366516113281</v>
      </c>
      <c r="O10" s="32">
        <f t="shared" si="0"/>
        <v>-3.2917210651866209E-2</v>
      </c>
      <c r="P10" s="32">
        <f t="shared" si="1"/>
        <v>-1.477343623508562E-2</v>
      </c>
      <c r="Q10" s="206"/>
    </row>
    <row r="11" spans="1:17" ht="18" customHeight="1">
      <c r="A11" s="173" t="s">
        <v>191</v>
      </c>
      <c r="B11" s="33" t="s">
        <v>192</v>
      </c>
      <c r="C11" s="34"/>
      <c r="D11" s="34">
        <v>28.200908660888672</v>
      </c>
      <c r="E11" s="34">
        <v>28.157272338867188</v>
      </c>
      <c r="F11" s="34">
        <v>28.5321044921875</v>
      </c>
      <c r="G11" s="34">
        <v>28.159473419189453</v>
      </c>
      <c r="H11" s="34">
        <v>28.159000396728516</v>
      </c>
      <c r="I11" s="34">
        <v>28.316818237304688</v>
      </c>
      <c r="J11" s="34">
        <v>28.414783477783203</v>
      </c>
      <c r="K11" s="34">
        <v>28.788461685180664</v>
      </c>
      <c r="L11" s="34">
        <v>28.788461685180664</v>
      </c>
      <c r="M11" s="34">
        <v>29.200769424438477</v>
      </c>
      <c r="N11" s="34">
        <v>29.592500686645508</v>
      </c>
      <c r="O11" s="28">
        <f t="shared" si="0"/>
        <v>4.934564493968982E-2</v>
      </c>
      <c r="P11" s="28">
        <f t="shared" si="1"/>
        <v>4.1447340599414802E-2</v>
      </c>
      <c r="Q11" s="206"/>
    </row>
    <row r="12" spans="1:17" ht="18" customHeight="1">
      <c r="A12" s="174"/>
      <c r="B12" s="35" t="s">
        <v>184</v>
      </c>
      <c r="C12" s="30"/>
      <c r="D12" s="30">
        <v>598.6363525390625</v>
      </c>
      <c r="E12" s="30">
        <v>601.8636474609375</v>
      </c>
      <c r="F12" s="30">
        <v>606.631591796875</v>
      </c>
      <c r="G12" s="30">
        <v>601.26318359375</v>
      </c>
      <c r="H12" s="30">
        <v>606.25</v>
      </c>
      <c r="I12" s="30">
        <v>612.04547119140625</v>
      </c>
      <c r="J12" s="30">
        <v>607.43475341796875</v>
      </c>
      <c r="K12" s="30">
        <v>622.923095703125</v>
      </c>
      <c r="L12" s="30">
        <v>622.923095703125</v>
      </c>
      <c r="M12" s="30">
        <v>624.80767822265625</v>
      </c>
      <c r="N12" s="30">
        <v>613.16668701171875</v>
      </c>
      <c r="O12" s="28">
        <f t="shared" si="0"/>
        <v>2.4272389090684413E-2</v>
      </c>
      <c r="P12" s="28">
        <f t="shared" si="1"/>
        <v>9.4362951107045453E-3</v>
      </c>
      <c r="Q12" s="206"/>
    </row>
    <row r="13" spans="1:17" ht="18" customHeight="1">
      <c r="A13" s="174"/>
      <c r="B13" s="35" t="s">
        <v>185</v>
      </c>
      <c r="C13" s="30"/>
      <c r="D13" s="30">
        <v>157.45454406738281</v>
      </c>
      <c r="E13" s="30">
        <v>158.95454406738281</v>
      </c>
      <c r="F13" s="30">
        <v>162.47367858886719</v>
      </c>
      <c r="G13" s="30">
        <v>165.3157958984375</v>
      </c>
      <c r="H13" s="30">
        <v>165.39999389648438</v>
      </c>
      <c r="I13" s="30">
        <v>171.5</v>
      </c>
      <c r="J13" s="30">
        <v>169.2608642578125</v>
      </c>
      <c r="K13" s="30">
        <v>170.65383911132813</v>
      </c>
      <c r="L13" s="30">
        <v>170.65383911132813</v>
      </c>
      <c r="M13" s="30">
        <v>177</v>
      </c>
      <c r="N13" s="30">
        <v>187.625</v>
      </c>
      <c r="O13" s="28">
        <f t="shared" si="0"/>
        <v>0.191613751837519</v>
      </c>
      <c r="P13" s="28">
        <f t="shared" si="1"/>
        <v>0.1084960532531363</v>
      </c>
      <c r="Q13" s="206"/>
    </row>
    <row r="14" spans="1:17" ht="18" customHeight="1">
      <c r="A14" s="174"/>
      <c r="B14" s="35" t="s">
        <v>186</v>
      </c>
      <c r="C14" s="30"/>
      <c r="D14" s="30">
        <v>459.76129150390625</v>
      </c>
      <c r="E14" s="30">
        <v>461.3939208984375</v>
      </c>
      <c r="F14" s="30">
        <v>466.42633056640625</v>
      </c>
      <c r="G14" s="30">
        <v>465.9658203125</v>
      </c>
      <c r="H14" s="30">
        <v>468.29254150390625</v>
      </c>
      <c r="I14" s="30">
        <v>473.473388671875</v>
      </c>
      <c r="J14" s="30">
        <v>471.627197265625</v>
      </c>
      <c r="K14" s="30">
        <v>482.46466064453125</v>
      </c>
      <c r="L14" s="30">
        <v>482.46466064453125</v>
      </c>
      <c r="M14" s="30">
        <v>488.4146728515625</v>
      </c>
      <c r="N14" s="30">
        <v>488.68490600585938</v>
      </c>
      <c r="O14" s="28">
        <f t="shared" si="0"/>
        <v>6.291006884755844E-2</v>
      </c>
      <c r="P14" s="28">
        <f t="shared" si="1"/>
        <v>3.6167780058339823E-2</v>
      </c>
      <c r="Q14" s="206"/>
    </row>
    <row r="15" spans="1:17" ht="18" customHeight="1">
      <c r="A15" s="174"/>
      <c r="B15" s="35" t="s">
        <v>187</v>
      </c>
      <c r="C15" s="31"/>
      <c r="D15" s="31">
        <v>253.58918762207031</v>
      </c>
      <c r="E15" s="31">
        <v>278.71231079101563</v>
      </c>
      <c r="F15" s="31">
        <v>305.11212158203125</v>
      </c>
      <c r="G15" s="31">
        <v>291.54962158203125</v>
      </c>
      <c r="H15" s="31">
        <v>267.97943115234375</v>
      </c>
      <c r="I15" s="31">
        <v>279.66970825195313</v>
      </c>
      <c r="J15" s="31">
        <v>282.86782836914063</v>
      </c>
      <c r="K15" s="31">
        <v>297.8538818359375</v>
      </c>
      <c r="L15" s="31">
        <v>266.22024536132813</v>
      </c>
      <c r="M15" s="31">
        <v>279.1019287109375</v>
      </c>
      <c r="N15" s="31">
        <v>280.08966064453125</v>
      </c>
      <c r="O15" s="28">
        <f t="shared" si="0"/>
        <v>0.10450158885305154</v>
      </c>
      <c r="P15" s="28">
        <f t="shared" si="1"/>
        <v>-9.8214340620732758E-3</v>
      </c>
      <c r="Q15" s="206"/>
    </row>
    <row r="16" spans="1:17" ht="18" customHeight="1">
      <c r="A16" s="174"/>
      <c r="B16" s="35" t="s">
        <v>193</v>
      </c>
      <c r="C16" s="31"/>
      <c r="D16" s="31">
        <f ca="1">807.157*OFFSET(D$112,MATCH($N$1,$C$112:$C$113,0)-1,0)</f>
        <v>807.15700000000004</v>
      </c>
      <c r="E16" s="31">
        <f ca="1">958.763125*OFFSET(E$112,MATCH($N$1,$C$112:$C$113,0)-1,0)</f>
        <v>958.76312499999995</v>
      </c>
      <c r="F16" s="31">
        <f ca="1">877.410375*OFFSET(F$112,MATCH($N$1,$C$112:$C$113,0)-1,0)</f>
        <v>877.41037500000004</v>
      </c>
      <c r="G16" s="31">
        <f ca="1">835.6884375*OFFSET(G$112,MATCH($N$1,$C$112:$C$113,0)-1,0)</f>
        <v>835.68843749999996</v>
      </c>
      <c r="H16" s="31">
        <f ca="1">784.7319375*OFFSET(H$112,MATCH($N$1,$C$112:$C$113,0)-1,0)</f>
        <v>784.73193749999996</v>
      </c>
      <c r="I16" s="31">
        <f ca="1">765.5740625*OFFSET(I$112,MATCH($N$1,$C$112:$C$113,0)-1,0)</f>
        <v>765.57406249999997</v>
      </c>
      <c r="J16" s="31">
        <f ca="1">938.794*OFFSET(J$112,MATCH($N$1,$C$112:$C$113,0)-1,0)</f>
        <v>938.79399999999998</v>
      </c>
      <c r="K16" s="31">
        <f ca="1">1095.667*OFFSET(K$112,MATCH($N$1,$C$112:$C$113,0)-1,0)</f>
        <v>1095.6669999999999</v>
      </c>
      <c r="L16" s="31">
        <f ca="1">1035.221875*OFFSET(L$112,MATCH($N$1,$C$112:$C$113,0)-1,0)</f>
        <v>1035.221875</v>
      </c>
      <c r="M16" s="31">
        <f ca="1">1010.146*OFFSET(M$112,MATCH($N$1,$C$112:$C$113,0)-1,0)</f>
        <v>1010.146</v>
      </c>
      <c r="N16" s="31">
        <v>901.756125</v>
      </c>
      <c r="O16" s="28">
        <f t="shared" ca="1" si="0"/>
        <v>0.11720040215224542</v>
      </c>
      <c r="P16" s="28">
        <f t="shared" ca="1" si="1"/>
        <v>-3.9452611542042222E-2</v>
      </c>
      <c r="Q16" s="206"/>
    </row>
    <row r="17" spans="1:16" ht="18" customHeight="1">
      <c r="A17" s="174"/>
      <c r="B17" s="35" t="s">
        <v>189</v>
      </c>
      <c r="C17" s="30"/>
      <c r="D17" s="30">
        <v>212.18182373046875</v>
      </c>
      <c r="E17" s="30">
        <v>223.45454406738281</v>
      </c>
      <c r="F17" s="30">
        <v>216.57894897460938</v>
      </c>
      <c r="G17" s="30">
        <v>215.73684692382813</v>
      </c>
      <c r="H17" s="30">
        <v>215.75</v>
      </c>
      <c r="I17" s="30">
        <v>201.95454406738281</v>
      </c>
      <c r="J17" s="30">
        <v>208.95652770996094</v>
      </c>
      <c r="K17" s="30">
        <v>225.42308044433594</v>
      </c>
      <c r="L17" s="30">
        <v>210.53846740722656</v>
      </c>
      <c r="M17" s="30">
        <v>201.42308044433594</v>
      </c>
      <c r="N17" s="30">
        <v>212.83332824707031</v>
      </c>
      <c r="O17" s="28">
        <f t="shared" si="0"/>
        <v>3.0705010690696981E-3</v>
      </c>
      <c r="P17" s="28">
        <f t="shared" si="1"/>
        <v>1.8553143946239917E-2</v>
      </c>
    </row>
    <row r="18" spans="1:16" ht="18" customHeight="1">
      <c r="A18" s="174"/>
      <c r="B18" s="35" t="s">
        <v>194</v>
      </c>
      <c r="C18" s="30"/>
      <c r="D18" s="30">
        <v>38.772727966308594</v>
      </c>
      <c r="E18" s="30">
        <v>39.181819915771484</v>
      </c>
      <c r="F18" s="30">
        <v>40.052631378173828</v>
      </c>
      <c r="G18" s="30">
        <v>39.263156890869141</v>
      </c>
      <c r="H18" s="30">
        <v>40.549999237060547</v>
      </c>
      <c r="I18" s="30">
        <v>40.136363983154297</v>
      </c>
      <c r="J18" s="30">
        <v>41.826087951660156</v>
      </c>
      <c r="K18" s="30">
        <v>43.115383148193359</v>
      </c>
      <c r="L18" s="30">
        <v>44.115383148193359</v>
      </c>
      <c r="M18" s="30">
        <v>44.538459777832031</v>
      </c>
      <c r="N18" s="30">
        <v>42.958332061767578</v>
      </c>
      <c r="O18" s="28">
        <f t="shared" si="0"/>
        <v>0.10795227251216495</v>
      </c>
      <c r="P18" s="28">
        <f t="shared" si="1"/>
        <v>2.7070284732724589E-2</v>
      </c>
    </row>
    <row r="19" spans="1:16" ht="18" customHeight="1">
      <c r="A19" s="174"/>
      <c r="B19" s="35" t="s">
        <v>195</v>
      </c>
      <c r="C19" s="36"/>
      <c r="D19" s="36">
        <v>1.1951503753662109</v>
      </c>
      <c r="E19" s="36">
        <v>1.2472885847091675</v>
      </c>
      <c r="F19" s="36">
        <v>1.4087800979614258</v>
      </c>
      <c r="G19" s="36">
        <v>1.3514132499694824</v>
      </c>
      <c r="H19" s="36">
        <v>1.2420830726623535</v>
      </c>
      <c r="I19" s="36">
        <v>1.3848150968551636</v>
      </c>
      <c r="J19" s="36">
        <v>1.3537161350250244</v>
      </c>
      <c r="K19" s="36">
        <v>1.3213105201721191</v>
      </c>
      <c r="L19" s="36">
        <v>1.2644731998443604</v>
      </c>
      <c r="M19" s="36">
        <v>1.3856501579284668</v>
      </c>
      <c r="N19" s="36">
        <v>1.316004753112793</v>
      </c>
      <c r="O19" s="28">
        <f t="shared" si="0"/>
        <v>0.10112064576773491</v>
      </c>
      <c r="P19" s="28">
        <f t="shared" si="1"/>
        <v>-2.7857673360400868E-2</v>
      </c>
    </row>
    <row r="20" spans="1:16" ht="18" customHeight="1">
      <c r="A20" s="175"/>
      <c r="B20" s="37" t="s">
        <v>196</v>
      </c>
      <c r="C20" s="38"/>
      <c r="D20" s="38">
        <f ca="1">3183*OFFSET(D$112,MATCH($N$1,$C$112:$C$113,0)-1,0)</f>
        <v>3183</v>
      </c>
      <c r="E20" s="38">
        <f ca="1">3440*OFFSET(E$112,MATCH($N$1,$C$112:$C$113,0)-1,0)</f>
        <v>3440</v>
      </c>
      <c r="F20" s="38">
        <f ca="1">2876*OFFSET(F$112,MATCH($N$1,$C$112:$C$113,0)-1,0)</f>
        <v>2876</v>
      </c>
      <c r="G20" s="38">
        <f ca="1">2866*OFFSET(G$112,MATCH($N$1,$C$112:$C$113,0)-1,0)</f>
        <v>2866</v>
      </c>
      <c r="H20" s="38">
        <f ca="1">2928*OFFSET(H$112,MATCH($N$1,$C$112:$C$113,0)-1,0)</f>
        <v>2928</v>
      </c>
      <c r="I20" s="38">
        <f ca="1">2737*OFFSET(I$112,MATCH($N$1,$C$112:$C$113,0)-1,0)</f>
        <v>2737</v>
      </c>
      <c r="J20" s="38">
        <f ca="1">3319*OFFSET(J$112,MATCH($N$1,$C$112:$C$113,0)-1,0)</f>
        <v>3319</v>
      </c>
      <c r="K20" s="38">
        <f ca="1">3679*OFFSET(K$112,MATCH($N$1,$C$112:$C$113,0)-1,0)</f>
        <v>3679</v>
      </c>
      <c r="L20" s="38">
        <f ca="1">3889*OFFSET(L$112,MATCH($N$1,$C$112:$C$113,0)-1,0)</f>
        <v>3889</v>
      </c>
      <c r="M20" s="38">
        <f ca="1">3619*OFFSET(M$112,MATCH($N$1,$C$112:$C$113,0)-1,0)</f>
        <v>3619</v>
      </c>
      <c r="N20" s="38">
        <v>3220</v>
      </c>
      <c r="O20" s="32">
        <f t="shared" ca="1" si="0"/>
        <v>1.1624253848570531E-2</v>
      </c>
      <c r="P20" s="32">
        <f t="shared" ca="1" si="1"/>
        <v>-2.9828261524555588E-2</v>
      </c>
    </row>
    <row r="21" spans="1:16" ht="18" customHeight="1">
      <c r="A21" s="176" t="s">
        <v>197</v>
      </c>
      <c r="B21" s="33" t="s">
        <v>198</v>
      </c>
      <c r="C21" s="39"/>
      <c r="D21" s="39">
        <v>1.9447497800508939</v>
      </c>
      <c r="E21" s="39">
        <v>2.0418818543647177</v>
      </c>
      <c r="F21" s="39">
        <v>2.284056788630092</v>
      </c>
      <c r="G21" s="39">
        <v>2.176908811754287</v>
      </c>
      <c r="H21" s="39">
        <v>2.0186501234681971</v>
      </c>
      <c r="I21" s="39">
        <v>2.2926983898693432</v>
      </c>
      <c r="J21" s="39">
        <v>2.1799462159080503</v>
      </c>
      <c r="K21" s="39">
        <v>2.1028973079814604</v>
      </c>
      <c r="L21" s="39">
        <v>1.9874593747907627</v>
      </c>
      <c r="M21" s="39">
        <v>2.1976702864663302</v>
      </c>
      <c r="N21" s="39">
        <v>2.109572295360203</v>
      </c>
      <c r="O21" s="28">
        <f t="shared" si="0"/>
        <v>8.4752556344290034E-2</v>
      </c>
      <c r="P21" s="28">
        <f t="shared" si="1"/>
        <v>-3.2282411389004499E-2</v>
      </c>
    </row>
    <row r="22" spans="1:16" ht="18" customHeight="1">
      <c r="A22" s="176"/>
      <c r="B22" s="35" t="s">
        <v>199</v>
      </c>
      <c r="C22" s="36"/>
      <c r="D22" s="36">
        <f ca="1">6.19000523222593*OFFSET(D$112,MATCH($N$1,$C$112:$C$113,0)-1,0)</f>
        <v>6.1900052322259302</v>
      </c>
      <c r="E22" s="36">
        <f ca="1">7.02402065418424*OFFSET(E$112,MATCH($N$1,$C$112:$C$113,0)-1,0)</f>
        <v>7.0240206541842403</v>
      </c>
      <c r="F22" s="36">
        <f ca="1">6.56825796707792*OFFSET(F$112,MATCH($N$1,$C$112:$C$113,0)-1,0)</f>
        <v>6.56825796707792</v>
      </c>
      <c r="G22" s="36">
        <f ca="1">6.23982124759185*OFFSET(G$112,MATCH($N$1,$C$112:$C$113,0)-1,0)</f>
        <v>6.2398212475918502</v>
      </c>
      <c r="H22" s="36">
        <f ca="1">5.91127168123313*OFFSET(H$112,MATCH($N$1,$C$112:$C$113,0)-1,0)</f>
        <v>5.9112716812331296</v>
      </c>
      <c r="I22" s="36">
        <f ca="1">6.2760834249457*OFFSET(I$112,MATCH($N$1,$C$112:$C$113,0)-1,0)</f>
        <v>6.2760834249456998</v>
      </c>
      <c r="J22" s="36">
        <f ca="1">7.23489991638953*OFFSET(J$112,MATCH($N$1,$C$112:$C$113,0)-1,0)</f>
        <v>7.23489991638953</v>
      </c>
      <c r="K22" s="36">
        <f ca="1">7.7355889087027*OFFSET(K$112,MATCH($N$1,$C$112:$C$113,0)-1,0)</f>
        <v>7.7355889087026997</v>
      </c>
      <c r="L22" s="36">
        <f ca="1">7.72841831643843*OFFSET(L$112,MATCH($N$1,$C$112:$C$113,0)-1,0)</f>
        <v>7.7284183164384297</v>
      </c>
      <c r="M22" s="36">
        <f ca="1">7.95396814148143*OFFSET(M$112,MATCH($N$1,$C$112:$C$113,0)-1,0)</f>
        <v>7.9539681414814298</v>
      </c>
      <c r="N22" s="36">
        <v>6.7918242111966194</v>
      </c>
      <c r="O22" s="28">
        <f t="shared" ca="1" si="0"/>
        <v>9.7224308606000093E-2</v>
      </c>
      <c r="P22" s="28">
        <f t="shared" ca="1" si="1"/>
        <v>-6.1241442219427553E-2</v>
      </c>
    </row>
    <row r="23" spans="1:16" ht="18" customHeight="1">
      <c r="A23" s="176"/>
      <c r="B23" s="35" t="s">
        <v>154</v>
      </c>
      <c r="C23" s="36"/>
      <c r="D23" s="36">
        <f ca="1">5.47884587478857*OFFSET(D$112,MATCH($N$1,$C$112:$C$113,0)-1,0)</f>
        <v>5.4788458747885702</v>
      </c>
      <c r="E23" s="36">
        <f ca="1">6.34424908168712*OFFSET(E$112,MATCH($N$1,$C$112:$C$113,0)-1,0)</f>
        <v>6.3442490816871198</v>
      </c>
      <c r="F23" s="36">
        <f ca="1">6.53364242545535*OFFSET(F$112,MATCH($N$1,$C$112:$C$113,0)-1,0)</f>
        <v>6.5336424254553496</v>
      </c>
      <c r="G23" s="36">
        <f ca="1">6.15403388243987*OFFSET(G$112,MATCH($N$1,$C$112:$C$113,0)-1,0)</f>
        <v>6.1540338824398697</v>
      </c>
      <c r="H23" s="36">
        <f ca="1">5.88988202254795*OFFSET(H$112,MATCH($N$1,$C$112:$C$113,0)-1,0)</f>
        <v>5.8898820225479502</v>
      </c>
      <c r="I23" s="36">
        <f ca="1">7.28957694141623*OFFSET(I$112,MATCH($N$1,$C$112:$C$113,0)-1,0)</f>
        <v>7.2895769414162297</v>
      </c>
      <c r="J23" s="36">
        <f ca="1">6.04138968351385*OFFSET(J$112,MATCH($N$1,$C$112:$C$113,0)-1,0)</f>
        <v>6.0413896835138496</v>
      </c>
      <c r="K23" s="36">
        <f ca="1">6.47543439918141*OFFSET(K$112,MATCH($N$1,$C$112:$C$113,0)-1,0)</f>
        <v>6.4754343991814096</v>
      </c>
      <c r="L23" s="36">
        <f ca="1">6.86207817193988*OFFSET(L$112,MATCH($N$1,$C$112:$C$113,0)-1,0)</f>
        <v>6.8620781719398796</v>
      </c>
      <c r="M23" s="36">
        <f ca="1">7.28330589849754*OFFSET(M$112,MATCH($N$1,$C$112:$C$113,0)-1,0)</f>
        <v>7.2833058984975398</v>
      </c>
      <c r="N23" s="36">
        <v>6.3211798121135478</v>
      </c>
      <c r="O23" s="28">
        <f t="shared" ca="1" si="0"/>
        <v>0.15374295181418723</v>
      </c>
      <c r="P23" s="28">
        <f t="shared" ca="1" si="1"/>
        <v>4.6312213456981319E-2</v>
      </c>
    </row>
    <row r="24" spans="1:16" ht="18" customHeight="1">
      <c r="A24" s="176"/>
      <c r="B24" s="35" t="s">
        <v>155</v>
      </c>
      <c r="C24" s="36"/>
      <c r="D24" s="36">
        <f ca="1">0.808710526815592*OFFSET(D$112,MATCH($N$1,$C$112:$C$113,0)-1,0)</f>
        <v>0.80871052681559197</v>
      </c>
      <c r="E24" s="36">
        <f ca="1">0.796729616796612*OFFSET(E$112,MATCH($N$1,$C$112:$C$113,0)-1,0)</f>
        <v>0.79672961679661203</v>
      </c>
      <c r="F24" s="36">
        <f ca="1">0.257924004417184*OFFSET(F$112,MATCH($N$1,$C$112:$C$113,0)-1,0)</f>
        <v>0.25792400441718399</v>
      </c>
      <c r="G24" s="36">
        <f ca="1">0.10766794584181*OFFSET(G$112,MATCH($N$1,$C$112:$C$113,0)-1,0)</f>
        <v>0.10766794584181</v>
      </c>
      <c r="H24" s="36">
        <f ca="1">0.496457321964215*OFFSET(H$112,MATCH($N$1,$C$112:$C$113,0)-1,0)</f>
        <v>0.49645732196421499</v>
      </c>
      <c r="I24" s="36">
        <f ca="1">0.593965912835413*OFFSET(I$112,MATCH($N$1,$C$112:$C$113,0)-1,0)</f>
        <v>0.593965912835413</v>
      </c>
      <c r="J24" s="36">
        <f ca="1">1.19351023287567*OFFSET(J$112,MATCH($N$1,$C$112:$C$113,0)-1,0)</f>
        <v>1.1935102328756699</v>
      </c>
      <c r="K24" s="36">
        <f ca="1">1.27350502402386*OFFSET(K$112,MATCH($N$1,$C$112:$C$113,0)-1,0)</f>
        <v>1.2735050240238599</v>
      </c>
      <c r="L24" s="36">
        <f ca="1">0.868109166641199*OFFSET(L$112,MATCH($N$1,$C$112:$C$113,0)-1,0)</f>
        <v>0.86810916664119897</v>
      </c>
      <c r="M24" s="36">
        <f ca="1">0.670692411948126*OFFSET(M$112,MATCH($N$1,$C$112:$C$113,0)-1,0)</f>
        <v>0.67069241194812601</v>
      </c>
      <c r="N24" s="36">
        <v>0.47380839964727756</v>
      </c>
      <c r="O24" s="28">
        <f t="shared" ca="1" si="0"/>
        <v>-0.41411866924378643</v>
      </c>
      <c r="P24" s="28">
        <f t="shared" ca="1" si="1"/>
        <v>-0.60301270437734489</v>
      </c>
    </row>
    <row r="25" spans="1:16" ht="18" customHeight="1">
      <c r="A25" s="176"/>
      <c r="B25" s="35" t="s">
        <v>200</v>
      </c>
      <c r="C25" s="31"/>
      <c r="D25" s="31">
        <f ca="1">112.58*OFFSET(D$112,MATCH($N$1,$C$112:$C$113,0)-1,0)</f>
        <v>112.58</v>
      </c>
      <c r="E25" s="31">
        <f ca="1">134.13*OFFSET(E$112,MATCH($N$1,$C$112:$C$113,0)-1,0)</f>
        <v>134.13</v>
      </c>
      <c r="F25" s="31">
        <f ca="1">96.27*OFFSET(F$112,MATCH($N$1,$C$112:$C$113,0)-1,0)</f>
        <v>96.27</v>
      </c>
      <c r="G25" s="31">
        <f ca="1">108.83*OFFSET(G$112,MATCH($N$1,$C$112:$C$113,0)-1,0)</f>
        <v>108.83</v>
      </c>
      <c r="H25" s="31">
        <f ca="1">127.74*OFFSET(H$112,MATCH($N$1,$C$112:$C$113,0)-1,0)</f>
        <v>127.74</v>
      </c>
      <c r="I25" s="31">
        <f ca="1">127.03*OFFSET(I$112,MATCH($N$1,$C$112:$C$113,0)-1,0)</f>
        <v>127.03</v>
      </c>
      <c r="J25" s="31">
        <f ca="1">139.45*OFFSET(J$112,MATCH($N$1,$C$112:$C$113,0)-1,0)</f>
        <v>139.44999999999999</v>
      </c>
      <c r="K25" s="31">
        <f ca="1">153.88*OFFSET(K$112,MATCH($N$1,$C$112:$C$113,0)-1,0)</f>
        <v>153.88</v>
      </c>
      <c r="L25" s="31">
        <f ca="1">169.77*OFFSET(L$112,MATCH($N$1,$C$112:$C$113,0)-1,0)</f>
        <v>169.77</v>
      </c>
      <c r="M25" s="31">
        <f ca="1">168.07*OFFSET(M$112,MATCH($N$1,$C$112:$C$113,0)-1,0)</f>
        <v>168.07</v>
      </c>
      <c r="N25" s="31">
        <v>141.87</v>
      </c>
      <c r="O25" s="28">
        <f t="shared" ca="1" si="0"/>
        <v>0.260170545389945</v>
      </c>
      <c r="P25" s="28">
        <f t="shared" ca="1" si="1"/>
        <v>1.7353890283255763E-2</v>
      </c>
    </row>
    <row r="26" spans="1:16" ht="18" customHeight="1">
      <c r="A26" s="177"/>
      <c r="B26" s="35" t="s">
        <v>201</v>
      </c>
      <c r="C26" s="31"/>
      <c r="D26" s="31">
        <f ca="1">14.71*OFFSET(D$112,MATCH($N$1,$C$112:$C$113,0)-1,0)</f>
        <v>14.71</v>
      </c>
      <c r="E26" s="31">
        <f ca="1">15.22*OFFSET(E$112,MATCH($N$1,$C$112:$C$113,0)-1,0)</f>
        <v>15.22</v>
      </c>
      <c r="F26" s="31">
        <f ca="1">3.79*OFFSET(F$112,MATCH($N$1,$C$112:$C$113,0)-1,0)</f>
        <v>3.79</v>
      </c>
      <c r="G26" s="31">
        <f ca="1">1.88*OFFSET(G$112,MATCH($N$1,$C$112:$C$113,0)-1,0)</f>
        <v>1.88</v>
      </c>
      <c r="H26" s="31">
        <f ca="1">10.73*OFFSET(H$112,MATCH($N$1,$C$112:$C$113,0)-1,0)</f>
        <v>10.73</v>
      </c>
      <c r="I26" s="31">
        <f ca="1">12.03*OFFSET(I$112,MATCH($N$1,$C$112:$C$113,0)-1,0)</f>
        <v>12.03</v>
      </c>
      <c r="J26" s="31">
        <f ca="1">23.01*OFFSET(J$112,MATCH($N$1,$C$112:$C$113,0)-1,0)</f>
        <v>23.01</v>
      </c>
      <c r="K26" s="31">
        <f ca="1">25.34*OFFSET(K$112,MATCH($N$1,$C$112:$C$113,0)-1,0)</f>
        <v>25.34</v>
      </c>
      <c r="L26" s="31">
        <f ca="1">19.07*OFFSET(L$112,MATCH($N$1,$C$112:$C$113,0)-1,0)</f>
        <v>19.07</v>
      </c>
      <c r="M26" s="31">
        <f ca="1">14.18*OFFSET(M$112,MATCH($N$1,$C$112:$C$113,0)-1,0)</f>
        <v>14.18</v>
      </c>
      <c r="N26" s="31">
        <v>9.9</v>
      </c>
      <c r="O26" s="32">
        <f t="shared" ca="1" si="0"/>
        <v>-0.32698844323589399</v>
      </c>
      <c r="P26" s="32">
        <f t="shared" ca="1" si="1"/>
        <v>-0.56975228161668845</v>
      </c>
    </row>
    <row r="27" spans="1:16" ht="18" customHeight="1">
      <c r="A27" s="166" t="s">
        <v>202</v>
      </c>
      <c r="B27" s="33" t="s">
        <v>193</v>
      </c>
      <c r="C27" s="34"/>
      <c r="D27" s="34">
        <f ca="1">807.2*OFFSET(D$112,MATCH($N$1,$C$112:$C$113,0)-1,0)</f>
        <v>807.2</v>
      </c>
      <c r="E27" s="34">
        <f ca="1">958.8*OFFSET(E$112,MATCH($N$1,$C$112:$C$113,0)-1,0)</f>
        <v>958.8</v>
      </c>
      <c r="F27" s="34">
        <f ca="1">877.4*OFFSET(F$112,MATCH($N$1,$C$112:$C$113,0)-1,0)</f>
        <v>877.4</v>
      </c>
      <c r="G27" s="34">
        <f ca="1">835.7*OFFSET(G$112,MATCH($N$1,$C$112:$C$113,0)-1,0)</f>
        <v>835.7</v>
      </c>
      <c r="H27" s="34">
        <f ca="1">784.7*OFFSET(H$112,MATCH($N$1,$C$112:$C$113,0)-1,0)</f>
        <v>784.7</v>
      </c>
      <c r="I27" s="34">
        <f ca="1">765.6*OFFSET(I$112,MATCH($N$1,$C$112:$C$113,0)-1,0)</f>
        <v>765.6</v>
      </c>
      <c r="J27" s="34">
        <f ca="1">938.8*OFFSET(J$112,MATCH($N$1,$C$112:$C$113,0)-1,0)</f>
        <v>938.8</v>
      </c>
      <c r="K27" s="34">
        <f ca="1">1095.7*OFFSET(K$112,MATCH($N$1,$C$112:$C$113,0)-1,0)</f>
        <v>1095.7</v>
      </c>
      <c r="L27" s="34">
        <f ca="1">1035.2*OFFSET(L$112,MATCH($N$1,$C$112:$C$113,0)-1,0)</f>
        <v>1035.2</v>
      </c>
      <c r="M27" s="34">
        <f ca="1">1010.1*OFFSET(M$112,MATCH($N$1,$C$112:$C$113,0)-1,0)</f>
        <v>1010.1</v>
      </c>
      <c r="N27" s="34">
        <v>901.80000000000007</v>
      </c>
      <c r="O27" s="28">
        <f t="shared" ca="1" si="0"/>
        <v>0.117195242814668</v>
      </c>
      <c r="P27" s="28">
        <f t="shared" ca="1" si="1"/>
        <v>-3.9412015338730177E-2</v>
      </c>
    </row>
    <row r="28" spans="1:16" ht="18" customHeight="1">
      <c r="A28" s="178"/>
      <c r="B28" s="35" t="s">
        <v>203</v>
      </c>
      <c r="C28" s="31"/>
      <c r="D28" s="31">
        <f ca="1">12.7*OFFSET(D$112,MATCH($N$1,$C$112:$C$113,0)-1,0)</f>
        <v>12.7</v>
      </c>
      <c r="E28" s="31">
        <f ca="1">16*OFFSET(E$112,MATCH($N$1,$C$112:$C$113,0)-1,0)</f>
        <v>16</v>
      </c>
      <c r="F28" s="31">
        <f ca="1">29.8*OFFSET(F$112,MATCH($N$1,$C$112:$C$113,0)-1,0)</f>
        <v>29.8</v>
      </c>
      <c r="G28" s="31">
        <f ca="1">2.9*OFFSET(G$112,MATCH($N$1,$C$112:$C$113,0)-1,0)</f>
        <v>2.9</v>
      </c>
      <c r="H28" s="31">
        <f ca="1">63.1*OFFSET(H$112,MATCH($N$1,$C$112:$C$113,0)-1,0)</f>
        <v>63.1</v>
      </c>
      <c r="I28" s="31">
        <f ca="1">196.1*OFFSET(I$112,MATCH($N$1,$C$112:$C$113,0)-1,0)</f>
        <v>196.1</v>
      </c>
      <c r="J28" s="31"/>
      <c r="K28" s="31">
        <f ca="1">1.9*OFFSET(K$112,MATCH($N$1,$C$112:$C$113,0)-1,0)</f>
        <v>1.9</v>
      </c>
      <c r="L28" s="31">
        <f ca="1">0.2*OFFSET(L$112,MATCH($N$1,$C$112:$C$113,0)-1,0)</f>
        <v>0.2</v>
      </c>
      <c r="M28" s="31"/>
      <c r="N28" s="31">
        <v>0.4</v>
      </c>
      <c r="O28" s="28">
        <f t="shared" ca="1" si="0"/>
        <v>-0.96850393700787396</v>
      </c>
      <c r="P28" s="28" t="str">
        <f t="shared" si="1"/>
        <v/>
      </c>
    </row>
    <row r="29" spans="1:16" ht="18" customHeight="1">
      <c r="A29" s="178"/>
      <c r="B29" s="40" t="s">
        <v>204</v>
      </c>
      <c r="C29" s="41"/>
      <c r="D29" s="41">
        <f ca="1">819.9*OFFSET(D$112,MATCH($N$1,$C$112:$C$113,0)-1,0)</f>
        <v>819.9</v>
      </c>
      <c r="E29" s="41">
        <f ca="1">974.7*OFFSET(E$112,MATCH($N$1,$C$112:$C$113,0)-1,0)</f>
        <v>974.7</v>
      </c>
      <c r="F29" s="41">
        <f ca="1">907.2*OFFSET(F$112,MATCH($N$1,$C$112:$C$113,0)-1,0)</f>
        <v>907.2</v>
      </c>
      <c r="G29" s="41">
        <f ca="1">838.6*OFFSET(G$112,MATCH($N$1,$C$112:$C$113,0)-1,0)</f>
        <v>838.6</v>
      </c>
      <c r="H29" s="41">
        <f ca="1">847.8*OFFSET(H$112,MATCH($N$1,$C$112:$C$113,0)-1,0)</f>
        <v>847.8</v>
      </c>
      <c r="I29" s="41">
        <f ca="1">961.7*OFFSET(I$112,MATCH($N$1,$C$112:$C$113,0)-1,0)</f>
        <v>961.7</v>
      </c>
      <c r="J29" s="41">
        <f ca="1">938.8*OFFSET(J$112,MATCH($N$1,$C$112:$C$113,0)-1,0)</f>
        <v>938.8</v>
      </c>
      <c r="K29" s="41">
        <f ca="1">1097.6*OFFSET(K$112,MATCH($N$1,$C$112:$C$113,0)-1,0)</f>
        <v>1097.5999999999999</v>
      </c>
      <c r="L29" s="41">
        <f ca="1">1035.5*OFFSET(L$112,MATCH($N$1,$C$112:$C$113,0)-1,0)</f>
        <v>1035.5</v>
      </c>
      <c r="M29" s="41">
        <f ca="1">1010.1*OFFSET(M$112,MATCH($N$1,$C$112:$C$113,0)-1,0)</f>
        <v>1010.1</v>
      </c>
      <c r="N29" s="41">
        <v>902.2</v>
      </c>
      <c r="O29" s="28">
        <f t="shared" ca="1" si="0"/>
        <v>0.10037809488962077</v>
      </c>
      <c r="P29" s="28">
        <f t="shared" ca="1" si="1"/>
        <v>-3.8985939497230414E-2</v>
      </c>
    </row>
    <row r="30" spans="1:16" ht="18" customHeight="1">
      <c r="A30" s="178"/>
      <c r="B30" s="35" t="s">
        <v>205</v>
      </c>
      <c r="C30" s="31"/>
      <c r="D30" s="31">
        <f ca="1">274.7*OFFSET(D$112,MATCH($N$1,$C$112:$C$113,0)-1,0)</f>
        <v>274.7</v>
      </c>
      <c r="E30" s="31">
        <f ca="1">375.3*OFFSET(E$112,MATCH($N$1,$C$112:$C$113,0)-1,0)</f>
        <v>375.3</v>
      </c>
      <c r="F30" s="31">
        <f ca="1">383.9*OFFSET(F$112,MATCH($N$1,$C$112:$C$113,0)-1,0)</f>
        <v>383.9</v>
      </c>
      <c r="G30" s="31">
        <f ca="1">359.1*OFFSET(G$112,MATCH($N$1,$C$112:$C$113,0)-1,0)</f>
        <v>359.1</v>
      </c>
      <c r="H30" s="31">
        <f ca="1">321.4*OFFSET(H$112,MATCH($N$1,$C$112:$C$113,0)-1,0)</f>
        <v>321.39999999999998</v>
      </c>
      <c r="I30" s="31">
        <f ca="1">209*OFFSET(I$112,MATCH($N$1,$C$112:$C$113,0)-1,0)</f>
        <v>209</v>
      </c>
      <c r="J30" s="31">
        <f ca="1">206.6*OFFSET(J$112,MATCH($N$1,$C$112:$C$113,0)-1,0)</f>
        <v>206.6</v>
      </c>
      <c r="K30" s="31">
        <f ca="1">271.9*OFFSET(K$112,MATCH($N$1,$C$112:$C$113,0)-1,0)</f>
        <v>271.89999999999998</v>
      </c>
      <c r="L30" s="31">
        <f ca="1">302.7*OFFSET(L$112,MATCH($N$1,$C$112:$C$113,0)-1,0)</f>
        <v>302.7</v>
      </c>
      <c r="M30" s="31">
        <f ca="1">285.6*OFFSET(M$112,MATCH($N$1,$C$112:$C$113,0)-1,0)</f>
        <v>285.60000000000002</v>
      </c>
      <c r="N30" s="31">
        <v>225</v>
      </c>
      <c r="O30" s="28">
        <f t="shared" ca="1" si="0"/>
        <v>-0.18092464506734615</v>
      </c>
      <c r="P30" s="28">
        <f t="shared" ca="1" si="1"/>
        <v>8.9060987415295292E-2</v>
      </c>
    </row>
    <row r="31" spans="1:16" ht="18" customHeight="1">
      <c r="A31" s="178"/>
      <c r="B31" s="35" t="s">
        <v>206</v>
      </c>
      <c r="C31" s="31"/>
      <c r="D31" s="31">
        <f ca="1">208.3*OFFSET(D$112,MATCH($N$1,$C$112:$C$113,0)-1,0)</f>
        <v>208.3</v>
      </c>
      <c r="E31" s="31">
        <f ca="1">250.1*OFFSET(E$112,MATCH($N$1,$C$112:$C$113,0)-1,0)</f>
        <v>250.1</v>
      </c>
      <c r="F31" s="31">
        <f ca="1">220.5*OFFSET(F$112,MATCH($N$1,$C$112:$C$113,0)-1,0)</f>
        <v>220.5</v>
      </c>
      <c r="G31" s="31">
        <f ca="1">205.8*OFFSET(G$112,MATCH($N$1,$C$112:$C$113,0)-1,0)</f>
        <v>205.8</v>
      </c>
      <c r="H31" s="31">
        <f ca="1">196.3*OFFSET(H$112,MATCH($N$1,$C$112:$C$113,0)-1,0)</f>
        <v>196.3</v>
      </c>
      <c r="I31" s="31">
        <f ca="1">240.9*OFFSET(I$112,MATCH($N$1,$C$112:$C$113,0)-1,0)</f>
        <v>240.9</v>
      </c>
      <c r="J31" s="31">
        <f ca="1">277.7*OFFSET(J$112,MATCH($N$1,$C$112:$C$113,0)-1,0)</f>
        <v>277.7</v>
      </c>
      <c r="K31" s="31">
        <f ca="1">310.5*OFFSET(K$112,MATCH($N$1,$C$112:$C$113,0)-1,0)</f>
        <v>310.5</v>
      </c>
      <c r="L31" s="31">
        <f ca="1">276.5*OFFSET(L$112,MATCH($N$1,$C$112:$C$113,0)-1,0)</f>
        <v>276.5</v>
      </c>
      <c r="M31" s="31">
        <f ca="1">260.8*OFFSET(M$112,MATCH($N$1,$C$112:$C$113,0)-1,0)</f>
        <v>260.8</v>
      </c>
      <c r="N31" s="31">
        <v>247.3</v>
      </c>
      <c r="O31" s="28">
        <f t="shared" ca="1" si="0"/>
        <v>0.18722995679308688</v>
      </c>
      <c r="P31" s="28">
        <f t="shared" ca="1" si="1"/>
        <v>-0.10947065178249903</v>
      </c>
    </row>
    <row r="32" spans="1:16" ht="18" customHeight="1">
      <c r="A32" s="178"/>
      <c r="B32" s="35" t="s">
        <v>207</v>
      </c>
      <c r="C32" s="31"/>
      <c r="D32" s="31">
        <f ca="1">61*OFFSET(D$112,MATCH($N$1,$C$112:$C$113,0)-1,0)</f>
        <v>61</v>
      </c>
      <c r="E32" s="31">
        <f ca="1">72.9*OFFSET(E$112,MATCH($N$1,$C$112:$C$113,0)-1,0)</f>
        <v>72.900000000000006</v>
      </c>
      <c r="F32" s="31">
        <f ca="1">64.7*OFFSET(F$112,MATCH($N$1,$C$112:$C$113,0)-1,0)</f>
        <v>64.7</v>
      </c>
      <c r="G32" s="31">
        <f ca="1">89*OFFSET(G$112,MATCH($N$1,$C$112:$C$113,0)-1,0)</f>
        <v>89</v>
      </c>
      <c r="H32" s="31">
        <f ca="1">89.4*OFFSET(H$112,MATCH($N$1,$C$112:$C$113,0)-1,0)</f>
        <v>89.4</v>
      </c>
      <c r="I32" s="31">
        <f ca="1">63.7*OFFSET(I$112,MATCH($N$1,$C$112:$C$113,0)-1,0)</f>
        <v>63.7</v>
      </c>
      <c r="J32" s="31">
        <f ca="1">85.1*OFFSET(J$112,MATCH($N$1,$C$112:$C$113,0)-1,0)</f>
        <v>85.1</v>
      </c>
      <c r="K32" s="31">
        <f ca="1">142.7*OFFSET(K$112,MATCH($N$1,$C$112:$C$113,0)-1,0)</f>
        <v>142.69999999999999</v>
      </c>
      <c r="L32" s="31">
        <f ca="1">140.6*OFFSET(L$112,MATCH($N$1,$C$112:$C$113,0)-1,0)</f>
        <v>140.6</v>
      </c>
      <c r="M32" s="31">
        <f ca="1">186.1*OFFSET(M$112,MATCH($N$1,$C$112:$C$113,0)-1,0)</f>
        <v>186.1</v>
      </c>
      <c r="N32" s="31">
        <v>166.1</v>
      </c>
      <c r="O32" s="28">
        <f t="shared" ca="1" si="0"/>
        <v>1.722950819672131</v>
      </c>
      <c r="P32" s="28">
        <f t="shared" ca="1" si="1"/>
        <v>0.9518213866039954</v>
      </c>
    </row>
    <row r="33" spans="1:16" ht="18" customHeight="1">
      <c r="A33" s="178"/>
      <c r="B33" s="35" t="s">
        <v>208</v>
      </c>
      <c r="C33" s="31"/>
      <c r="D33" s="31">
        <f ca="1">544*OFFSET(D$112,MATCH($N$1,$C$112:$C$113,0)-1,0)</f>
        <v>544</v>
      </c>
      <c r="E33" s="31">
        <f ca="1">698.4*OFFSET(E$112,MATCH($N$1,$C$112:$C$113,0)-1,0)</f>
        <v>698.4</v>
      </c>
      <c r="F33" s="31">
        <f ca="1">669.1*OFFSET(F$112,MATCH($N$1,$C$112:$C$113,0)-1,0)</f>
        <v>669.1</v>
      </c>
      <c r="G33" s="31">
        <f ca="1">653.9*OFFSET(G$112,MATCH($N$1,$C$112:$C$113,0)-1,0)</f>
        <v>653.9</v>
      </c>
      <c r="H33" s="31">
        <f ca="1">607.1*OFFSET(H$112,MATCH($N$1,$C$112:$C$113,0)-1,0)</f>
        <v>607.1</v>
      </c>
      <c r="I33" s="31">
        <f ca="1">513.6*OFFSET(I$112,MATCH($N$1,$C$112:$C$113,0)-1,0)</f>
        <v>513.6</v>
      </c>
      <c r="J33" s="31">
        <f ca="1">569.4*OFFSET(J$112,MATCH($N$1,$C$112:$C$113,0)-1,0)</f>
        <v>569.4</v>
      </c>
      <c r="K33" s="31">
        <f ca="1">725.1*OFFSET(K$112,MATCH($N$1,$C$112:$C$113,0)-1,0)</f>
        <v>725.1</v>
      </c>
      <c r="L33" s="31">
        <f ca="1">719.8*OFFSET(L$112,MATCH($N$1,$C$112:$C$113,0)-1,0)</f>
        <v>719.8</v>
      </c>
      <c r="M33" s="31">
        <f ca="1">732.5*OFFSET(M$112,MATCH($N$1,$C$112:$C$113,0)-1,0)</f>
        <v>732.5</v>
      </c>
      <c r="N33" s="31">
        <v>638.4</v>
      </c>
      <c r="O33" s="28">
        <f t="shared" ca="1" si="0"/>
        <v>0.17352941176470585</v>
      </c>
      <c r="P33" s="28">
        <f t="shared" ca="1" si="1"/>
        <v>0.12118018967334036</v>
      </c>
    </row>
    <row r="34" spans="1:16" ht="18" customHeight="1">
      <c r="A34" s="178"/>
      <c r="B34" s="35" t="s">
        <v>209</v>
      </c>
      <c r="C34" s="31"/>
      <c r="D34" s="31">
        <f ca="1">170.4*OFFSET(D$112,MATCH($N$1,$C$112:$C$113,0)-1,0)</f>
        <v>170.4</v>
      </c>
      <c r="E34" s="31">
        <f ca="1">167.6*OFFSET(E$112,MATCH($N$1,$C$112:$C$113,0)-1,0)</f>
        <v>167.6</v>
      </c>
      <c r="F34" s="31">
        <f ca="1">203.7*OFFSET(F$112,MATCH($N$1,$C$112:$C$113,0)-1,0)</f>
        <v>203.7</v>
      </c>
      <c r="G34" s="31">
        <f ca="1">170.3*OFFSET(G$112,MATCH($N$1,$C$112:$C$113,0)-1,0)</f>
        <v>170.3</v>
      </c>
      <c r="H34" s="31">
        <f ca="1">174.8*OFFSET(H$112,MATCH($N$1,$C$112:$C$113,0)-1,0)</f>
        <v>174.8</v>
      </c>
      <c r="I34" s="31">
        <f ca="1">375.6*OFFSET(I$112,MATCH($N$1,$C$112:$C$113,0)-1,0)</f>
        <v>375.6</v>
      </c>
      <c r="J34" s="31">
        <f ca="1">214.5*OFFSET(J$112,MATCH($N$1,$C$112:$C$113,0)-1,0)</f>
        <v>214.5</v>
      </c>
      <c r="K34" s="31">
        <f ca="1">192.1*OFFSET(K$112,MATCH($N$1,$C$112:$C$113,0)-1,0)</f>
        <v>192.1</v>
      </c>
      <c r="L34" s="31">
        <f ca="1">199.4*OFFSET(L$112,MATCH($N$1,$C$112:$C$113,0)-1,0)</f>
        <v>199.4</v>
      </c>
      <c r="M34" s="31">
        <f ca="1">192.5*OFFSET(M$112,MATCH($N$1,$C$112:$C$113,0)-1,0)</f>
        <v>192.5</v>
      </c>
      <c r="N34" s="31">
        <v>200.9</v>
      </c>
      <c r="O34" s="28">
        <f t="shared" ca="1" si="0"/>
        <v>0.1789906103286385</v>
      </c>
      <c r="P34" s="28">
        <f t="shared" ca="1" si="1"/>
        <v>-6.3403263403263382E-2</v>
      </c>
    </row>
    <row r="35" spans="1:16" ht="18" customHeight="1">
      <c r="A35" s="178"/>
      <c r="B35" s="35" t="s">
        <v>210</v>
      </c>
      <c r="C35" s="31"/>
      <c r="D35" s="31">
        <f ca="1">714.4*OFFSET(D$112,MATCH($N$1,$C$112:$C$113,0)-1,0)</f>
        <v>714.4</v>
      </c>
      <c r="E35" s="31">
        <f ca="1">866*OFFSET(E$112,MATCH($N$1,$C$112:$C$113,0)-1,0)</f>
        <v>866</v>
      </c>
      <c r="F35" s="31">
        <f ca="1">872.8*OFFSET(F$112,MATCH($N$1,$C$112:$C$113,0)-1,0)</f>
        <v>872.8</v>
      </c>
      <c r="G35" s="31">
        <f ca="1">824.2*OFFSET(G$112,MATCH($N$1,$C$112:$C$113,0)-1,0)</f>
        <v>824.2</v>
      </c>
      <c r="H35" s="31">
        <f ca="1">781.9*OFFSET(H$112,MATCH($N$1,$C$112:$C$113,0)-1,0)</f>
        <v>781.9</v>
      </c>
      <c r="I35" s="31">
        <f ca="1">889.2*OFFSET(I$112,MATCH($N$1,$C$112:$C$113,0)-1,0)</f>
        <v>889.2</v>
      </c>
      <c r="J35" s="31">
        <f ca="1">783.9*OFFSET(J$112,MATCH($N$1,$C$112:$C$113,0)-1,0)</f>
        <v>783.9</v>
      </c>
      <c r="K35" s="31">
        <f ca="1">917.2*OFFSET(K$112,MATCH($N$1,$C$112:$C$113,0)-1,0)</f>
        <v>917.2</v>
      </c>
      <c r="L35" s="31">
        <f ca="1">919.2*OFFSET(L$112,MATCH($N$1,$C$112:$C$113,0)-1,0)</f>
        <v>919.2</v>
      </c>
      <c r="M35" s="31">
        <f ca="1">925*OFFSET(M$112,MATCH($N$1,$C$112:$C$113,0)-1,0)</f>
        <v>925</v>
      </c>
      <c r="N35" s="31">
        <v>839.30000000000007</v>
      </c>
      <c r="O35" s="28">
        <f t="shared" ca="1" si="0"/>
        <v>0.17483202687570001</v>
      </c>
      <c r="P35" s="28">
        <f t="shared" ca="1" si="1"/>
        <v>7.0672279627503623E-2</v>
      </c>
    </row>
    <row r="36" spans="1:16" ht="18" customHeight="1">
      <c r="A36" s="178"/>
      <c r="B36" s="40" t="s">
        <v>211</v>
      </c>
      <c r="C36" s="41"/>
      <c r="D36" s="41">
        <f ca="1">313.8*OFFSET(D$112,MATCH($N$1,$C$112:$C$113,0)-1,0)</f>
        <v>313.8</v>
      </c>
      <c r="E36" s="41">
        <f ca="1">358.9*OFFSET(E$112,MATCH($N$1,$C$112:$C$113,0)-1,0)</f>
        <v>358.9</v>
      </c>
      <c r="F36" s="41">
        <f ca="1">255*OFFSET(F$112,MATCH($N$1,$C$112:$C$113,0)-1,0)</f>
        <v>255</v>
      </c>
      <c r="G36" s="41">
        <f ca="1">220.2*OFFSET(G$112,MATCH($N$1,$C$112:$C$113,0)-1,0)</f>
        <v>220.2</v>
      </c>
      <c r="H36" s="41">
        <f ca="1">262.2*OFFSET(H$112,MATCH($N$1,$C$112:$C$113,0)-1,0)</f>
        <v>262.2</v>
      </c>
      <c r="I36" s="41">
        <f ca="1">313.4*OFFSET(I$112,MATCH($N$1,$C$112:$C$113,0)-1,0)</f>
        <v>313.39999999999998</v>
      </c>
      <c r="J36" s="41">
        <f ca="1">432.6*OFFSET(J$112,MATCH($N$1,$C$112:$C$113,0)-1,0)</f>
        <v>432.6</v>
      </c>
      <c r="K36" s="41">
        <f ca="1">490.9*OFFSET(K$112,MATCH($N$1,$C$112:$C$113,0)-1,0)</f>
        <v>490.9</v>
      </c>
      <c r="L36" s="41">
        <f ca="1">392.8*OFFSET(L$112,MATCH($N$1,$C$112:$C$113,0)-1,0)</f>
        <v>392.8</v>
      </c>
      <c r="M36" s="41">
        <f ca="1">346*OFFSET(M$112,MATCH($N$1,$C$112:$C$113,0)-1,0)</f>
        <v>346</v>
      </c>
      <c r="N36" s="41">
        <v>310.2</v>
      </c>
      <c r="O36" s="28">
        <f t="shared" ca="1" si="0"/>
        <v>-1.1472275334608102E-2</v>
      </c>
      <c r="P36" s="28">
        <f t="shared" ca="1" si="1"/>
        <v>-0.28294036061026356</v>
      </c>
    </row>
    <row r="37" spans="1:16" ht="18" customHeight="1">
      <c r="A37" s="178"/>
      <c r="B37" s="40" t="s">
        <v>212</v>
      </c>
      <c r="C37" s="41"/>
      <c r="D37" s="41">
        <f ca="1">105.5*OFFSET(D$112,MATCH($N$1,$C$112:$C$113,0)-1,0)</f>
        <v>105.5</v>
      </c>
      <c r="E37" s="41">
        <f ca="1">108.8*OFFSET(E$112,MATCH($N$1,$C$112:$C$113,0)-1,0)</f>
        <v>108.8</v>
      </c>
      <c r="F37" s="41">
        <f ca="1">34.5*OFFSET(F$112,MATCH($N$1,$C$112:$C$113,0)-1,0)</f>
        <v>34.5</v>
      </c>
      <c r="G37" s="41">
        <f ca="1">14.4*OFFSET(G$112,MATCH($N$1,$C$112:$C$113,0)-1,0)</f>
        <v>14.4</v>
      </c>
      <c r="H37" s="41">
        <f ca="1">65.9*OFFSET(H$112,MATCH($N$1,$C$112:$C$113,0)-1,0)</f>
        <v>65.900000000000006</v>
      </c>
      <c r="I37" s="41">
        <f ca="1">72.5*OFFSET(I$112,MATCH($N$1,$C$112:$C$113,0)-1,0)</f>
        <v>72.5</v>
      </c>
      <c r="J37" s="41">
        <f ca="1">154.9*OFFSET(J$112,MATCH($N$1,$C$112:$C$113,0)-1,0)</f>
        <v>154.9</v>
      </c>
      <c r="K37" s="41">
        <f ca="1">180.4*OFFSET(K$112,MATCH($N$1,$C$112:$C$113,0)-1,0)</f>
        <v>180.4</v>
      </c>
      <c r="L37" s="41">
        <f ca="1">116.3*OFFSET(L$112,MATCH($N$1,$C$112:$C$113,0)-1,0)</f>
        <v>116.3</v>
      </c>
      <c r="M37" s="41">
        <f ca="1">85.2*OFFSET(M$112,MATCH($N$1,$C$112:$C$113,0)-1,0)</f>
        <v>85.2</v>
      </c>
      <c r="N37" s="41">
        <v>62.9</v>
      </c>
      <c r="O37" s="28">
        <f t="shared" ca="1" si="0"/>
        <v>-0.4037914691943128</v>
      </c>
      <c r="P37" s="28">
        <f t="shared" ca="1" si="1"/>
        <v>-0.59393156875403486</v>
      </c>
    </row>
    <row r="38" spans="1:16" ht="18" customHeight="1">
      <c r="A38" s="178"/>
      <c r="B38" s="35" t="s">
        <v>213</v>
      </c>
      <c r="C38" s="31"/>
      <c r="D38" s="31">
        <f ca="1">25.3*OFFSET(D$112,MATCH($N$1,$C$112:$C$113,0)-1,0)</f>
        <v>25.3</v>
      </c>
      <c r="E38" s="31">
        <f ca="1">5.7*OFFSET(E$112,MATCH($N$1,$C$112:$C$113,0)-1,0)</f>
        <v>5.7</v>
      </c>
      <c r="F38" s="31">
        <f ca="1">7.6*OFFSET(F$112,MATCH($N$1,$C$112:$C$113,0)-1,0)</f>
        <v>7.6</v>
      </c>
      <c r="G38" s="31">
        <f ca="1">7.2*OFFSET(G$112,MATCH($N$1,$C$112:$C$113,0)-1,0)</f>
        <v>7.2</v>
      </c>
      <c r="H38" s="31">
        <f ca="1">5.4*OFFSET(H$112,MATCH($N$1,$C$112:$C$113,0)-1,0)</f>
        <v>5.4</v>
      </c>
      <c r="I38" s="31">
        <f ca="1">9.7*OFFSET(I$112,MATCH($N$1,$C$112:$C$113,0)-1,0)</f>
        <v>9.6999999999999993</v>
      </c>
      <c r="J38" s="31">
        <f ca="1">16.7*OFFSET(J$112,MATCH($N$1,$C$112:$C$113,0)-1,0)</f>
        <v>16.7</v>
      </c>
      <c r="K38" s="31">
        <f ca="1">33.8*OFFSET(K$112,MATCH($N$1,$C$112:$C$113,0)-1,0)</f>
        <v>33.799999999999997</v>
      </c>
      <c r="L38" s="31">
        <f ca="1">47*OFFSET(L$112,MATCH($N$1,$C$112:$C$113,0)-1,0)</f>
        <v>47</v>
      </c>
      <c r="M38" s="31">
        <f ca="1">40.8*OFFSET(M$112,MATCH($N$1,$C$112:$C$113,0)-1,0)</f>
        <v>40.799999999999997</v>
      </c>
      <c r="N38" s="31"/>
      <c r="O38" s="28" t="str">
        <f t="shared" si="0"/>
        <v/>
      </c>
      <c r="P38" s="28" t="str">
        <f t="shared" si="1"/>
        <v/>
      </c>
    </row>
    <row r="39" spans="1:16" ht="18" customHeight="1">
      <c r="A39" s="178"/>
      <c r="B39" s="35" t="s">
        <v>214</v>
      </c>
      <c r="C39" s="31"/>
      <c r="D39" s="31">
        <f ca="1">2.3*OFFSET(D$112,MATCH($N$1,$C$112:$C$113,0)-1,0)</f>
        <v>2.2999999999999998</v>
      </c>
      <c r="E39" s="31">
        <f ca="1">2.1*OFFSET(E$112,MATCH($N$1,$C$112:$C$113,0)-1,0)</f>
        <v>2.1</v>
      </c>
      <c r="F39" s="31">
        <f ca="1">3.2*OFFSET(F$112,MATCH($N$1,$C$112:$C$113,0)-1,0)</f>
        <v>3.2</v>
      </c>
      <c r="G39" s="31">
        <f ca="1">3.2*OFFSET(G$112,MATCH($N$1,$C$112:$C$113,0)-1,0)</f>
        <v>3.2</v>
      </c>
      <c r="H39" s="31">
        <f ca="1">2.6*OFFSET(H$112,MATCH($N$1,$C$112:$C$113,0)-1,0)</f>
        <v>2.6</v>
      </c>
      <c r="I39" s="31">
        <f ca="1">3.3*OFFSET(I$112,MATCH($N$1,$C$112:$C$113,0)-1,0)</f>
        <v>3.3</v>
      </c>
      <c r="J39" s="31">
        <f ca="1">2.1*OFFSET(J$112,MATCH($N$1,$C$112:$C$113,0)-1,0)</f>
        <v>2.1</v>
      </c>
      <c r="K39" s="31">
        <f ca="1">2.2*OFFSET(K$112,MATCH($N$1,$C$112:$C$113,0)-1,0)</f>
        <v>2.2000000000000002</v>
      </c>
      <c r="L39" s="31">
        <f ca="1">1.7*OFFSET(L$112,MATCH($N$1,$C$112:$C$113,0)-1,0)</f>
        <v>1.7</v>
      </c>
      <c r="M39" s="31">
        <f ca="1">1.2*OFFSET(M$112,MATCH($N$1,$C$112:$C$113,0)-1,0)</f>
        <v>1.2</v>
      </c>
      <c r="N39" s="31"/>
      <c r="O39" s="28" t="str">
        <f t="shared" si="0"/>
        <v/>
      </c>
      <c r="P39" s="28" t="str">
        <f t="shared" si="1"/>
        <v/>
      </c>
    </row>
    <row r="40" spans="1:16" ht="18" customHeight="1">
      <c r="A40" s="178"/>
      <c r="B40" s="35" t="s">
        <v>215</v>
      </c>
      <c r="C40" s="31"/>
      <c r="D40" s="31">
        <f ca="1">21.8*OFFSET(D$112,MATCH($N$1,$C$112:$C$113,0)-1,0)</f>
        <v>21.8</v>
      </c>
      <c r="E40" s="31">
        <f ca="1">0.8*OFFSET(E$112,MATCH($N$1,$C$112:$C$113,0)-1,0)</f>
        <v>0.8</v>
      </c>
      <c r="F40" s="31">
        <f ca="1">1*OFFSET(F$112,MATCH($N$1,$C$112:$C$113,0)-1,0)</f>
        <v>1</v>
      </c>
      <c r="G40" s="31">
        <f ca="1">1.8*OFFSET(G$112,MATCH($N$1,$C$112:$C$113,0)-1,0)</f>
        <v>1.8</v>
      </c>
      <c r="H40" s="31">
        <f ca="1">0.4*OFFSET(H$112,MATCH($N$1,$C$112:$C$113,0)-1,0)</f>
        <v>0.4</v>
      </c>
      <c r="I40" s="31">
        <f ca="1">2.1*OFFSET(I$112,MATCH($N$1,$C$112:$C$113,0)-1,0)</f>
        <v>2.1</v>
      </c>
      <c r="J40" s="31">
        <f ca="1">0.1*OFFSET(J$112,MATCH($N$1,$C$112:$C$113,0)-1,0)</f>
        <v>0.1</v>
      </c>
      <c r="K40" s="31">
        <f ca="1">0.6*OFFSET(K$112,MATCH($N$1,$C$112:$C$113,0)-1,0)</f>
        <v>0.6</v>
      </c>
      <c r="L40" s="31">
        <f ca="1">0.3*OFFSET(L$112,MATCH($N$1,$C$112:$C$113,0)-1,0)</f>
        <v>0.3</v>
      </c>
      <c r="M40" s="31">
        <f ca="1">0.1*OFFSET(M$112,MATCH($N$1,$C$112:$C$113,0)-1,0)</f>
        <v>0.1</v>
      </c>
      <c r="N40" s="31"/>
      <c r="O40" s="28" t="str">
        <f t="shared" si="0"/>
        <v/>
      </c>
      <c r="P40" s="28" t="str">
        <f t="shared" si="1"/>
        <v/>
      </c>
    </row>
    <row r="41" spans="1:16" ht="18" customHeight="1" thickBot="1">
      <c r="A41" s="179"/>
      <c r="B41" s="42" t="s">
        <v>216</v>
      </c>
      <c r="C41" s="43"/>
      <c r="D41" s="43">
        <f ca="1">56.1*OFFSET(D$112,MATCH($N$1,$C$112:$C$113,0)-1,0)</f>
        <v>56.1</v>
      </c>
      <c r="E41" s="43">
        <f ca="1">100.2*OFFSET(E$112,MATCH($N$1,$C$112:$C$113,0)-1,0)</f>
        <v>100.2</v>
      </c>
      <c r="F41" s="43">
        <f ca="1">22.7*OFFSET(F$112,MATCH($N$1,$C$112:$C$113,0)-1,0)</f>
        <v>22.7</v>
      </c>
      <c r="G41" s="43">
        <f ca="1">2.3*OFFSET(G$112,MATCH($N$1,$C$112:$C$113,0)-1,0)</f>
        <v>2.2999999999999998</v>
      </c>
      <c r="H41" s="43">
        <f ca="1">57.5*OFFSET(H$112,MATCH($N$1,$C$112:$C$113,0)-1,0)</f>
        <v>57.5</v>
      </c>
      <c r="I41" s="43">
        <f ca="1">57.4*OFFSET(I$112,MATCH($N$1,$C$112:$C$113,0)-1,0)</f>
        <v>57.4</v>
      </c>
      <c r="J41" s="43">
        <f ca="1">136*OFFSET(J$112,MATCH($N$1,$C$112:$C$113,0)-1,0)</f>
        <v>136</v>
      </c>
      <c r="K41" s="43">
        <f ca="1">143.7*OFFSET(K$112,MATCH($N$1,$C$112:$C$113,0)-1,0)</f>
        <v>143.69999999999999</v>
      </c>
      <c r="L41" s="43">
        <f ca="1">67.3*OFFSET(L$112,MATCH($N$1,$C$112:$C$113,0)-1,0)</f>
        <v>67.3</v>
      </c>
      <c r="M41" s="43">
        <f ca="1">43*OFFSET(M$112,MATCH($N$1,$C$112:$C$113,0)-1,0)</f>
        <v>43</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163</v>
      </c>
      <c r="F46" s="90" t="s">
        <v>159</v>
      </c>
      <c r="G46" s="90" t="s">
        <v>159</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South West beamers over 250kW</v>
      </c>
      <c r="B48" s="202"/>
      <c r="C48" s="92"/>
      <c r="D48" s="92"/>
      <c r="E48" s="92"/>
      <c r="F48" s="92"/>
      <c r="G48" s="92"/>
      <c r="H48" s="202"/>
      <c r="I48" s="202"/>
      <c r="J48" s="202"/>
      <c r="K48" s="92" t="str">
        <f>$B24&amp;CHAR(10)&amp;$A$1</f>
        <v>Operating profit per kW day at sea (£)
South West beamers over 250kW</v>
      </c>
      <c r="L48" s="202"/>
      <c r="M48" s="202"/>
      <c r="N48" s="202"/>
      <c r="O48" s="202"/>
      <c r="P48" s="202"/>
    </row>
    <row r="49" spans="1:11" s="80" customFormat="1">
      <c r="A49" s="92" t="str">
        <f>$B22&amp;CHAR(10)&amp;$A$1</f>
        <v>Fishing income per kW day at sea (£)
South West beamers over 250kW</v>
      </c>
      <c r="B49" s="202"/>
      <c r="C49" s="202"/>
      <c r="D49" s="202"/>
      <c r="E49" s="202"/>
      <c r="F49" s="202"/>
      <c r="G49" s="202"/>
      <c r="H49" s="202"/>
      <c r="I49" s="202"/>
      <c r="J49" s="202"/>
      <c r="K49" s="202"/>
    </row>
    <row r="50" spans="1:11" s="80" customFormat="1">
      <c r="A50" s="92" t="str">
        <f>$B20&amp;CHAR(10)&amp;$A$1</f>
        <v>Average price per tonne landed (£)
South West beamers over 250kW</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South West beamers over 250kW</v>
      </c>
      <c r="C62" s="202"/>
      <c r="D62" s="202"/>
      <c r="E62" s="202"/>
      <c r="F62" s="92" t="str">
        <f>$B20&amp;CHAR(10)&amp;$A$1</f>
        <v>Average price per tonne landed (£)
South West beamers over 250kW</v>
      </c>
      <c r="G62" s="202"/>
      <c r="H62" s="202"/>
      <c r="I62" s="202"/>
      <c r="J62" s="202"/>
      <c r="K62" s="92" t="str">
        <f>"Average annual operating profit per vessel (£'000)"&amp;CHAR(10)&amp;$A$1</f>
        <v>Average annual operating profit per vessel (£'000)
South West beamers over 250kW</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South West beamers over 250kW</v>
      </c>
      <c r="F76" s="92" t="str">
        <f>"Top 5 landed species by value in "&amp;A77&amp;CHAR(10)&amp;A1</f>
        <v>Top 5 landed species by value in 2019
South West beamers over 250kW</v>
      </c>
    </row>
    <row r="77" spans="1:11" s="92" customFormat="1">
      <c r="A77" s="92">
        <v>2019</v>
      </c>
      <c r="B77" s="92" t="s">
        <v>523</v>
      </c>
      <c r="C77" s="93">
        <v>0.28996497622499945</v>
      </c>
      <c r="D77" s="94">
        <v>553960</v>
      </c>
      <c r="G77" s="92" t="s">
        <v>524</v>
      </c>
      <c r="H77" s="93">
        <v>0.27894181284448538</v>
      </c>
      <c r="I77" s="94">
        <v>12153634</v>
      </c>
      <c r="K77" s="92" t="s">
        <v>230</v>
      </c>
    </row>
    <row r="78" spans="1:11" s="92" customFormat="1">
      <c r="B78" s="92" t="s">
        <v>525</v>
      </c>
      <c r="C78" s="93">
        <v>0.15599777520874408</v>
      </c>
      <c r="D78" s="94">
        <v>3050596</v>
      </c>
      <c r="G78" s="92" t="s">
        <v>526</v>
      </c>
      <c r="H78" s="93">
        <v>0.22027696179185749</v>
      </c>
      <c r="I78" s="94">
        <v>553960</v>
      </c>
    </row>
    <row r="79" spans="1:11" s="92" customFormat="1">
      <c r="B79" s="92" t="s">
        <v>527</v>
      </c>
      <c r="C79" s="93">
        <v>7.8687952840131345E-2</v>
      </c>
      <c r="D79" s="94">
        <v>3689192</v>
      </c>
      <c r="G79" s="92" t="s">
        <v>528</v>
      </c>
      <c r="H79" s="93">
        <v>0.13676693232280926</v>
      </c>
      <c r="I79" s="94">
        <v>3050596</v>
      </c>
    </row>
    <row r="80" spans="1:11" s="92" customFormat="1">
      <c r="B80" s="92" t="s">
        <v>529</v>
      </c>
      <c r="C80" s="93">
        <v>7.1819589440423687E-2</v>
      </c>
      <c r="D80" s="94">
        <v>12153634</v>
      </c>
      <c r="G80" s="92" t="s">
        <v>530</v>
      </c>
      <c r="H80" s="93">
        <v>6.103972393665965E-2</v>
      </c>
      <c r="I80" s="94">
        <v>1692097</v>
      </c>
    </row>
    <row r="81" spans="1:19" s="92" customFormat="1">
      <c r="B81" s="92" t="s">
        <v>531</v>
      </c>
      <c r="C81" s="93">
        <v>6.8391005212823722E-2</v>
      </c>
      <c r="D81" s="94">
        <v>11115023</v>
      </c>
      <c r="G81" s="92" t="s">
        <v>532</v>
      </c>
      <c r="H81" s="93">
        <v>5.6495103761874541E-2</v>
      </c>
      <c r="I81" s="94">
        <v>3689192</v>
      </c>
    </row>
    <row r="82" spans="1:19" s="92" customFormat="1">
      <c r="B82" s="92" t="s">
        <v>533</v>
      </c>
      <c r="C82" s="93">
        <v>0.3351387010728778</v>
      </c>
      <c r="D82" s="94">
        <v>5920853</v>
      </c>
      <c r="G82" s="92" t="s">
        <v>534</v>
      </c>
      <c r="H82" s="93">
        <v>0.24647946534231369</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171</v>
      </c>
      <c r="D92" s="98">
        <v>0.15273205317823632</v>
      </c>
      <c r="E92" s="98">
        <v>0.15845508092565253</v>
      </c>
      <c r="F92" s="98">
        <v>0.17523785755694227</v>
      </c>
      <c r="G92" s="98">
        <v>0.17149999564235588</v>
      </c>
      <c r="H92" s="98">
        <v>0.1529604113862818</v>
      </c>
      <c r="I92" s="98">
        <v>0.18959752305170621</v>
      </c>
      <c r="J92" s="98">
        <v>0.16614743835157719</v>
      </c>
      <c r="K92" s="98">
        <v>0.19937490722779741</v>
      </c>
      <c r="L92" s="98">
        <v>0.27894181284448538</v>
      </c>
      <c r="M92" s="98">
        <v>0.31770132058980466</v>
      </c>
      <c r="O92" s="92">
        <v>12153634</v>
      </c>
    </row>
    <row r="93" spans="1:19" s="92" customFormat="1" hidden="1">
      <c r="B93" s="92">
        <v>2</v>
      </c>
      <c r="C93" s="92" t="s">
        <v>162</v>
      </c>
      <c r="D93" s="98">
        <v>0.21613654411805538</v>
      </c>
      <c r="E93" s="98">
        <v>0.2277232417206777</v>
      </c>
      <c r="F93" s="98">
        <v>0.14044372285931914</v>
      </c>
      <c r="G93" s="98">
        <v>0.12026512423791083</v>
      </c>
      <c r="H93" s="98">
        <v>0.19761453663319356</v>
      </c>
      <c r="I93" s="98">
        <v>0.20718827503181445</v>
      </c>
      <c r="J93" s="98">
        <v>0.34453259591279434</v>
      </c>
      <c r="K93" s="98">
        <v>0.30844676890742695</v>
      </c>
      <c r="L93" s="98">
        <v>0.22027696179185749</v>
      </c>
      <c r="M93" s="98">
        <v>0.17928221588725851</v>
      </c>
      <c r="O93" s="92">
        <v>553960</v>
      </c>
    </row>
    <row r="94" spans="1:19" s="92" customFormat="1" hidden="1">
      <c r="B94" s="92">
        <v>3</v>
      </c>
      <c r="C94" s="92" t="s">
        <v>161</v>
      </c>
      <c r="D94" s="98">
        <v>0.2783457198535414</v>
      </c>
      <c r="E94" s="98">
        <v>0.25375438361534997</v>
      </c>
      <c r="F94" s="98">
        <v>0.28544618880128109</v>
      </c>
      <c r="G94" s="98">
        <v>0.27769541338015363</v>
      </c>
      <c r="H94" s="98">
        <v>0.2339463935669272</v>
      </c>
      <c r="I94" s="98">
        <v>0.22867763511208491</v>
      </c>
      <c r="J94" s="98">
        <v>0.14698067935723791</v>
      </c>
      <c r="K94" s="98">
        <v>0.12296730930595905</v>
      </c>
      <c r="L94" s="98">
        <v>0.13676693232280926</v>
      </c>
      <c r="M94" s="98">
        <v>0.1590029788170749</v>
      </c>
      <c r="O94" s="92">
        <v>3050596</v>
      </c>
    </row>
    <row r="95" spans="1:19" s="92" customFormat="1" hidden="1">
      <c r="B95" s="92">
        <v>4</v>
      </c>
      <c r="C95" s="92" t="s">
        <v>286</v>
      </c>
      <c r="D95" s="98"/>
      <c r="E95" s="98"/>
      <c r="F95" s="98"/>
      <c r="G95" s="98"/>
      <c r="H95" s="98"/>
      <c r="I95" s="98">
        <v>4.652832410234798E-2</v>
      </c>
      <c r="J95" s="98"/>
      <c r="K95" s="98">
        <v>5.3408680769836292E-2</v>
      </c>
      <c r="L95" s="98">
        <v>6.103972393665965E-2</v>
      </c>
      <c r="M95" s="98">
        <v>6.5874705458996027E-2</v>
      </c>
      <c r="O95" s="92">
        <v>1692097</v>
      </c>
    </row>
    <row r="96" spans="1:19" s="92" customFormat="1" hidden="1">
      <c r="B96" s="92">
        <v>5</v>
      </c>
      <c r="C96" s="92" t="s">
        <v>168</v>
      </c>
      <c r="D96" s="98"/>
      <c r="E96" s="98"/>
      <c r="F96" s="98"/>
      <c r="G96" s="98"/>
      <c r="H96" s="98"/>
      <c r="I96" s="98"/>
      <c r="J96" s="98"/>
      <c r="K96" s="98"/>
      <c r="L96" s="98">
        <v>5.6495103761874541E-2</v>
      </c>
      <c r="M96" s="98">
        <v>5.4521690730513439E-2</v>
      </c>
      <c r="O96" s="92">
        <v>3689192</v>
      </c>
    </row>
    <row r="97" spans="1:15" s="92" customFormat="1" hidden="1">
      <c r="B97" s="92">
        <v>6</v>
      </c>
      <c r="C97" s="92" t="s">
        <v>172</v>
      </c>
      <c r="D97" s="98"/>
      <c r="E97" s="98">
        <v>4.5709799173624832E-2</v>
      </c>
      <c r="F97" s="98"/>
      <c r="G97" s="98"/>
      <c r="H97" s="98">
        <v>6.4679750568691893E-2</v>
      </c>
      <c r="I97" s="98"/>
      <c r="J97" s="98">
        <v>6.003008109332942E-2</v>
      </c>
      <c r="K97" s="98">
        <v>6.6029854225385556E-2</v>
      </c>
      <c r="L97" s="98"/>
      <c r="M97" s="98"/>
      <c r="O97" s="92">
        <v>11115023</v>
      </c>
    </row>
    <row r="98" spans="1:15" s="92" customFormat="1" hidden="1">
      <c r="B98" s="92">
        <v>7</v>
      </c>
      <c r="C98" s="92" t="s">
        <v>310</v>
      </c>
      <c r="D98" s="98">
        <v>9.3720613878394213E-2</v>
      </c>
      <c r="E98" s="98">
        <v>8.0665614706986744E-2</v>
      </c>
      <c r="F98" s="98">
        <v>0.11600299775354173</v>
      </c>
      <c r="G98" s="98">
        <v>0.12993787550520974</v>
      </c>
      <c r="H98" s="98">
        <v>0.11720822020461284</v>
      </c>
      <c r="I98" s="98">
        <v>9.0714107937631044E-2</v>
      </c>
      <c r="J98" s="98">
        <v>5.8044314720721538E-2</v>
      </c>
      <c r="K98" s="98"/>
      <c r="L98" s="98"/>
      <c r="M98" s="98"/>
      <c r="O98" s="92">
        <v>2480382</v>
      </c>
    </row>
    <row r="99" spans="1:15" s="92" customFormat="1" hidden="1">
      <c r="B99" s="92">
        <v>8</v>
      </c>
      <c r="C99" s="92" t="s">
        <v>326</v>
      </c>
      <c r="D99" s="98">
        <v>4.035270547840606E-2</v>
      </c>
      <c r="E99" s="98"/>
      <c r="F99" s="98">
        <v>4.4009534356624976E-2</v>
      </c>
      <c r="G99" s="98">
        <v>5.1733637009427139E-2</v>
      </c>
      <c r="H99" s="98"/>
      <c r="I99" s="98"/>
      <c r="J99" s="98"/>
      <c r="K99" s="98"/>
      <c r="L99" s="98"/>
      <c r="M99" s="98"/>
      <c r="O99" s="92">
        <v>7434864</v>
      </c>
    </row>
    <row r="100" spans="1:15" s="92" customFormat="1" hidden="1">
      <c r="B100" s="92">
        <v>9</v>
      </c>
      <c r="C100" s="92" t="s">
        <v>245</v>
      </c>
      <c r="D100" s="98">
        <v>0.21871236349336659</v>
      </c>
      <c r="E100" s="98">
        <v>0.23369187985770823</v>
      </c>
      <c r="F100" s="98">
        <v>0.23885969867229079</v>
      </c>
      <c r="G100" s="98">
        <v>0.24886795422494276</v>
      </c>
      <c r="H100" s="98">
        <v>0.23359068764029273</v>
      </c>
      <c r="I100" s="98">
        <v>0.23729413476441538</v>
      </c>
      <c r="J100" s="98">
        <v>0.2242648905643396</v>
      </c>
      <c r="K100" s="98">
        <v>0.24977247956359475</v>
      </c>
      <c r="L100" s="98">
        <v>0.24647946534231366</v>
      </c>
      <c r="M100" s="98">
        <v>0.22361708851635245</v>
      </c>
      <c r="O100" s="92">
        <v>5920853</v>
      </c>
    </row>
    <row r="101" spans="1:15" s="92" customFormat="1" hidden="1">
      <c r="B101" s="92">
        <v>10</v>
      </c>
      <c r="D101" s="98"/>
      <c r="E101" s="98"/>
      <c r="F101" s="98"/>
      <c r="G101" s="98"/>
      <c r="H101" s="98"/>
      <c r="I101" s="98"/>
      <c r="J101" s="98"/>
      <c r="K101" s="98"/>
      <c r="L101" s="98"/>
      <c r="M101" s="98"/>
      <c r="O101" s="92">
        <v>14393110</v>
      </c>
    </row>
    <row r="102" spans="1:15" s="92" customFormat="1" hidden="1">
      <c r="B102" s="92">
        <v>11</v>
      </c>
      <c r="D102" s="98"/>
      <c r="E102" s="98"/>
      <c r="F102" s="98"/>
      <c r="G102" s="98"/>
      <c r="H102" s="98"/>
      <c r="I102" s="98"/>
      <c r="J102" s="98"/>
      <c r="K102" s="98"/>
      <c r="L102" s="98"/>
      <c r="M102" s="98"/>
      <c r="O102" s="92">
        <v>2887140</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10</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7</v>
      </c>
      <c r="D120" s="54">
        <v>12</v>
      </c>
      <c r="E120" s="54">
        <v>7</v>
      </c>
      <c r="F120" s="55">
        <v>26</v>
      </c>
    </row>
    <row r="121" spans="1:15" ht="18" customHeight="1">
      <c r="A121" s="173" t="s">
        <v>191</v>
      </c>
      <c r="B121" s="33" t="s">
        <v>192</v>
      </c>
      <c r="C121" s="56">
        <v>28.007143020629883</v>
      </c>
      <c r="D121" s="56">
        <v>29.775833129882813</v>
      </c>
      <c r="E121" s="56">
        <v>29.408571243286133</v>
      </c>
      <c r="F121" s="57">
        <v>29.200769424438477</v>
      </c>
      <c r="G121" s="206"/>
      <c r="H121" s="206"/>
      <c r="I121" s="206"/>
      <c r="J121" s="206"/>
      <c r="K121" s="206"/>
      <c r="L121" s="206"/>
      <c r="M121" s="206"/>
      <c r="N121" s="206"/>
      <c r="O121" s="206"/>
    </row>
    <row r="122" spans="1:15" ht="18" customHeight="1">
      <c r="A122" s="174"/>
      <c r="B122" s="35" t="s">
        <v>184</v>
      </c>
      <c r="C122" s="58">
        <v>653.28570556640625</v>
      </c>
      <c r="D122" s="58">
        <v>632.5</v>
      </c>
      <c r="E122" s="58">
        <v>583.14288330078125</v>
      </c>
      <c r="F122" s="59">
        <v>624.80767822265625</v>
      </c>
      <c r="G122" s="206"/>
      <c r="H122" s="206"/>
      <c r="I122" s="206"/>
      <c r="J122" s="206"/>
      <c r="K122" s="206"/>
      <c r="L122" s="206"/>
      <c r="M122" s="206"/>
      <c r="N122" s="206"/>
      <c r="O122" s="206"/>
    </row>
    <row r="123" spans="1:15" ht="18" customHeight="1">
      <c r="A123" s="174"/>
      <c r="B123" s="35" t="s">
        <v>185</v>
      </c>
      <c r="C123" s="58">
        <v>177</v>
      </c>
      <c r="D123" s="58">
        <v>186.83333587646484</v>
      </c>
      <c r="E123" s="58">
        <v>160.14285278320313</v>
      </c>
      <c r="F123" s="59">
        <v>177</v>
      </c>
      <c r="G123" s="206"/>
      <c r="H123" s="206"/>
      <c r="I123" s="206"/>
      <c r="J123" s="206"/>
      <c r="K123" s="206"/>
      <c r="L123" s="206"/>
      <c r="M123" s="206"/>
      <c r="N123" s="206"/>
      <c r="O123" s="206"/>
    </row>
    <row r="124" spans="1:15" ht="18" customHeight="1">
      <c r="A124" s="174"/>
      <c r="B124" s="35" t="s">
        <v>186</v>
      </c>
      <c r="C124" s="58">
        <v>493.59298706054688</v>
      </c>
      <c r="D124" s="58">
        <v>499.10284423828125</v>
      </c>
      <c r="E124" s="58">
        <v>464.91384887695313</v>
      </c>
      <c r="F124" s="59">
        <v>488.4146728515625</v>
      </c>
      <c r="G124" s="206"/>
      <c r="H124" s="206"/>
      <c r="I124" s="206"/>
      <c r="J124" s="206"/>
      <c r="K124" s="206"/>
      <c r="L124" s="206"/>
      <c r="M124" s="206"/>
      <c r="N124" s="206"/>
      <c r="O124" s="206"/>
    </row>
    <row r="125" spans="1:15" ht="18" customHeight="1">
      <c r="A125" s="174"/>
      <c r="B125" s="35" t="s">
        <v>187</v>
      </c>
      <c r="C125" s="31">
        <v>288.76007080078125</v>
      </c>
      <c r="D125" s="31">
        <v>332.80570983886719</v>
      </c>
      <c r="E125" s="31">
        <v>177.380126953125</v>
      </c>
      <c r="F125" s="60">
        <v>279.1019287109375</v>
      </c>
      <c r="G125" s="206"/>
      <c r="H125" s="206"/>
      <c r="I125" s="206"/>
      <c r="J125" s="206"/>
      <c r="K125" s="206"/>
      <c r="L125" s="206"/>
      <c r="M125" s="206"/>
      <c r="N125" s="206"/>
      <c r="O125" s="206"/>
    </row>
    <row r="126" spans="1:15" ht="18" customHeight="1">
      <c r="A126" s="174"/>
      <c r="B126" s="35" t="s">
        <v>193</v>
      </c>
      <c r="C126" s="31">
        <f ca="1">1106.2035*OFFSET($L$112,MATCH($N$1,$C$112:$C$113,0)-1,0)</f>
        <v>1106.2035000000001</v>
      </c>
      <c r="D126" s="31">
        <f ca="1">1187.8668125*OFFSET($L$112,MATCH($N$1,$C$112:$C$113,0)-1,0)</f>
        <v>1187.8668124999999</v>
      </c>
      <c r="E126" s="31">
        <f ca="1">609.42425*OFFSET($L$112,MATCH($N$1,$C$112:$C$113,0)-1,0)</f>
        <v>609.42425000000003</v>
      </c>
      <c r="F126" s="60">
        <f ca="1">1010.146*OFFSET($L$112,MATCH($N$1,$C$112:$C$113,0)-1,0)</f>
        <v>1010.146</v>
      </c>
      <c r="G126" s="206"/>
      <c r="H126" s="206"/>
      <c r="I126" s="206"/>
      <c r="J126" s="206"/>
      <c r="K126" s="206"/>
      <c r="L126" s="206"/>
      <c r="M126" s="206"/>
      <c r="N126" s="206"/>
      <c r="O126" s="206"/>
    </row>
    <row r="127" spans="1:15" ht="18" customHeight="1">
      <c r="A127" s="174"/>
      <c r="B127" s="35" t="s">
        <v>189</v>
      </c>
      <c r="C127" s="58">
        <v>179.42857360839844</v>
      </c>
      <c r="D127" s="58">
        <v>236</v>
      </c>
      <c r="E127" s="58">
        <v>164.14285278320313</v>
      </c>
      <c r="F127" s="59">
        <v>201.42308044433594</v>
      </c>
      <c r="G127" s="206"/>
      <c r="H127" s="206"/>
      <c r="I127" s="206"/>
      <c r="J127" s="206"/>
      <c r="K127" s="206"/>
      <c r="L127" s="206"/>
      <c r="M127" s="206"/>
      <c r="N127" s="206"/>
      <c r="O127" s="206"/>
    </row>
    <row r="128" spans="1:15" ht="18" customHeight="1">
      <c r="A128" s="174"/>
      <c r="B128" s="35" t="s">
        <v>194</v>
      </c>
      <c r="C128" s="58">
        <v>41.571430206298828</v>
      </c>
      <c r="D128" s="58">
        <v>44.166667938232422</v>
      </c>
      <c r="E128" s="58">
        <v>48.142856597900391</v>
      </c>
      <c r="F128" s="59">
        <v>44.538459777832031</v>
      </c>
      <c r="G128" s="206"/>
      <c r="H128" s="206"/>
      <c r="I128" s="206"/>
      <c r="J128" s="206"/>
      <c r="K128" s="206"/>
      <c r="L128" s="206"/>
      <c r="M128" s="206"/>
      <c r="N128" s="206"/>
      <c r="O128" s="206"/>
    </row>
    <row r="129" spans="1:15" ht="18" customHeight="1">
      <c r="A129" s="174"/>
      <c r="B129" s="35" t="s">
        <v>195</v>
      </c>
      <c r="C129" s="61">
        <v>1.6093316078186035</v>
      </c>
      <c r="D129" s="61">
        <v>1.4101936857579118</v>
      </c>
      <c r="E129" s="61">
        <v>1.0806448459625244</v>
      </c>
      <c r="F129" s="62">
        <v>1.3856501579284668</v>
      </c>
      <c r="G129" s="206"/>
      <c r="H129" s="206"/>
      <c r="I129" s="206"/>
      <c r="J129" s="206"/>
      <c r="K129" s="206"/>
      <c r="L129" s="206"/>
      <c r="M129" s="206"/>
      <c r="N129" s="206"/>
      <c r="O129" s="206"/>
    </row>
    <row r="130" spans="1:15" ht="18" customHeight="1">
      <c r="A130" s="175"/>
      <c r="B130" s="37" t="s">
        <v>196</v>
      </c>
      <c r="C130" s="38">
        <f ca="1">3830.87418191964*OFFSET($L$112,MATCH($N$1,$C$112:$C$113,0)-1,0)</f>
        <v>3830.8741819196398</v>
      </c>
      <c r="D130" s="38">
        <f ca="1">3569.25009812819*OFFSET($L$112,MATCH($N$1,$C$112:$C$113,0)-1,0)</f>
        <v>3569.2500981281901</v>
      </c>
      <c r="E130" s="38">
        <f ca="1">3435.69632330373*OFFSET($L$112,MATCH($N$1,$C$112:$C$113,0)-1,0)</f>
        <v>3435.69632330373</v>
      </c>
      <c r="F130" s="63">
        <f ca="1">3619*OFFSET($L$112,MATCH($N$1,$C$112:$C$113,0)-1,0)</f>
        <v>3619</v>
      </c>
      <c r="G130" s="206"/>
      <c r="H130" s="206"/>
      <c r="I130" s="206"/>
      <c r="J130" s="206"/>
      <c r="K130" s="206"/>
      <c r="L130" s="206"/>
      <c r="M130" s="206"/>
      <c r="N130" s="206"/>
      <c r="O130" s="206"/>
    </row>
    <row r="131" spans="1:15" ht="18" customHeight="1">
      <c r="A131" s="184" t="s">
        <v>197</v>
      </c>
      <c r="B131" s="33" t="s">
        <v>198</v>
      </c>
      <c r="C131" s="64">
        <v>2.4216043776638112</v>
      </c>
      <c r="D131" s="64">
        <v>2.2468819187969276</v>
      </c>
      <c r="E131" s="64">
        <v>1.7999155124862358</v>
      </c>
      <c r="F131" s="65">
        <v>2.1976702864663302</v>
      </c>
      <c r="G131" s="206"/>
      <c r="H131" s="206"/>
      <c r="I131" s="206"/>
      <c r="J131" s="206"/>
      <c r="K131" s="206"/>
      <c r="L131" s="206"/>
      <c r="M131" s="206"/>
      <c r="N131" s="206"/>
      <c r="O131" s="206"/>
    </row>
    <row r="132" spans="1:15" ht="18" customHeight="1">
      <c r="A132" s="185"/>
      <c r="B132" s="35" t="s">
        <v>199</v>
      </c>
      <c r="C132" s="61">
        <f ca="1">9.27686168921587*OFFSET($L$112,MATCH($N$1,$C$112:$C$113,0)-1,0)</f>
        <v>9.2768616892158704</v>
      </c>
      <c r="D132" s="61">
        <f ca="1">8.0196835091484*OFFSET($L$112,MATCH($N$1,$C$112:$C$113,0)-1,0)</f>
        <v>8.0196835091484004</v>
      </c>
      <c r="E132" s="61">
        <f ca="1">6.1839631085063*OFFSET($L$112,MATCH($N$1,$C$112:$C$113,0)-1,0)</f>
        <v>6.1839631085063003</v>
      </c>
      <c r="F132" s="62">
        <f ca="1">7.95396814148143*OFFSET($L$112,MATCH($N$1,$C$112:$C$113,0)-1,0)</f>
        <v>7.9539681414814298</v>
      </c>
      <c r="G132" s="206"/>
      <c r="H132" s="206"/>
      <c r="I132" s="206"/>
      <c r="J132" s="206"/>
      <c r="K132" s="206"/>
      <c r="L132" s="206"/>
      <c r="M132" s="206"/>
      <c r="N132" s="206"/>
      <c r="O132" s="206"/>
    </row>
    <row r="133" spans="1:15" ht="18" customHeight="1">
      <c r="A133" s="185"/>
      <c r="B133" s="35" t="s">
        <v>154</v>
      </c>
      <c r="C133" s="61">
        <f ca="1">7.87289077654462*OFFSET($L$112,MATCH($N$1,$C$112:$C$113,0)-1,0)</f>
        <v>7.8728907765446197</v>
      </c>
      <c r="D133" s="61">
        <f ca="1">7.34496507003109*OFFSET($L$112,MATCH($N$1,$C$112:$C$113,0)-1,0)</f>
        <v>7.3449650700310896</v>
      </c>
      <c r="E133" s="61">
        <f ca="1">6.4109035070543*OFFSET($L$112,MATCH($N$1,$C$112:$C$113,0)-1,0)</f>
        <v>6.4109035070543001</v>
      </c>
      <c r="F133" s="62">
        <f ca="1">7.2832757295333*OFFSET($L$112,MATCH($N$1,$C$112:$C$113,0)-1,0)</f>
        <v>7.2832757295333002</v>
      </c>
      <c r="G133" s="206"/>
      <c r="H133" s="206"/>
      <c r="I133" s="206"/>
      <c r="J133" s="206"/>
      <c r="K133" s="206"/>
      <c r="L133" s="206"/>
      <c r="M133" s="206"/>
      <c r="N133" s="206"/>
      <c r="O133" s="206"/>
    </row>
    <row r="134" spans="1:15" ht="18" customHeight="1">
      <c r="A134" s="186"/>
      <c r="B134" s="37" t="s">
        <v>155</v>
      </c>
      <c r="C134" s="66">
        <f ca="1">1.40397091267125*OFFSET($L$112,MATCH($N$1,$C$112:$C$113,0)-1,0)</f>
        <v>1.4039709126712501</v>
      </c>
      <c r="D134" s="66">
        <f ca="1">0.674718439117303*OFFSET($L$112,MATCH($N$1,$C$112:$C$113,0)-1,0)</f>
        <v>0.674718439117303</v>
      </c>
      <c r="E134" s="66">
        <f ca="1">-0.226940398547996*OFFSET($L$112,MATCH($N$1,$C$112:$C$113,0)-1,0)</f>
        <v>-0.226940398547996</v>
      </c>
      <c r="F134" s="67">
        <f ca="1">0.670692411948126*OFFSET($L$112,MATCH($N$1,$C$112:$C$113,0)-1,0)</f>
        <v>0.67069241194812601</v>
      </c>
      <c r="G134" s="206"/>
      <c r="H134" s="206"/>
      <c r="I134" s="206"/>
      <c r="J134" s="206"/>
      <c r="K134" s="206"/>
      <c r="L134" s="206"/>
      <c r="M134" s="206"/>
      <c r="N134" s="206"/>
      <c r="O134" s="206"/>
    </row>
    <row r="135" spans="1:15" ht="18" customHeight="1">
      <c r="A135" s="187" t="s">
        <v>254</v>
      </c>
      <c r="B135" s="35" t="s">
        <v>255</v>
      </c>
      <c r="C135" s="68">
        <f ca="1">238.610125*OFFSET($L$112,MATCH($N$1,$C$112:$C$113,0)-1,0)</f>
        <v>238.61012500000001</v>
      </c>
      <c r="D135" s="68">
        <f ca="1">336.05959375*OFFSET($L$112,MATCH($N$1,$C$112:$C$113,0)-1,0)</f>
        <v>336.05959374999998</v>
      </c>
      <c r="E135" s="68">
        <f ca="1">246.0496875*OFFSET($L$112,MATCH($N$1,$C$112:$C$113,0)-1,0)</f>
        <v>246.0496875</v>
      </c>
      <c r="F135" s="69">
        <f ca="1">285.58975*OFFSET($L$112,MATCH($N$1,$C$112:$C$113,0)-1,0)</f>
        <v>285.58974999999998</v>
      </c>
      <c r="G135" s="206"/>
      <c r="H135" s="206"/>
      <c r="I135" s="206"/>
      <c r="J135" s="206"/>
      <c r="K135" s="206"/>
      <c r="L135" s="206"/>
      <c r="M135" s="206"/>
      <c r="N135" s="206"/>
      <c r="O135" s="206"/>
    </row>
    <row r="136" spans="1:15" ht="18" customHeight="1">
      <c r="A136" s="188"/>
      <c r="B136" s="35" t="s">
        <v>256</v>
      </c>
      <c r="C136" s="30">
        <v>456342.84650380164</v>
      </c>
      <c r="D136" s="30">
        <v>641116.66609948501</v>
      </c>
      <c r="E136" s="30">
        <v>470914.26326673478</v>
      </c>
      <c r="F136" s="70">
        <v>545546.15384615387</v>
      </c>
      <c r="G136" s="206"/>
      <c r="H136" s="206"/>
      <c r="I136" s="206"/>
      <c r="J136" s="206"/>
      <c r="K136" s="206"/>
      <c r="L136" s="206"/>
      <c r="M136" s="206"/>
      <c r="N136" s="206"/>
      <c r="O136" s="206"/>
    </row>
    <row r="137" spans="1:15" ht="18" customHeight="1">
      <c r="A137" s="188"/>
      <c r="B137" s="35" t="s">
        <v>257</v>
      </c>
      <c r="C137" s="30">
        <v>2543.31201171875</v>
      </c>
      <c r="D137" s="30">
        <v>2716.5960427944278</v>
      </c>
      <c r="E137" s="30">
        <v>2868.929443359375</v>
      </c>
      <c r="F137" s="70">
        <v>2708.458984375</v>
      </c>
      <c r="G137" s="206"/>
      <c r="H137" s="206"/>
      <c r="I137" s="206"/>
      <c r="J137" s="206"/>
      <c r="K137" s="206"/>
      <c r="L137" s="206"/>
      <c r="M137" s="206"/>
      <c r="N137" s="206"/>
      <c r="O137" s="206"/>
    </row>
    <row r="138" spans="1:15" ht="18" customHeight="1">
      <c r="A138" s="188"/>
      <c r="B138" s="35" t="s">
        <v>258</v>
      </c>
      <c r="C138" s="30">
        <f ca="1">1329.83348304805*OFFSET($L$112,MATCH($N$1,$C$112:$C$113,0)-1,0)</f>
        <v>1329.8334830480501</v>
      </c>
      <c r="D138" s="30">
        <f ca="1">1423.98132944915*OFFSET($L$112,MATCH($N$1,$C$112:$C$113,0)-1,0)</f>
        <v>1423.9813294491501</v>
      </c>
      <c r="E138" s="30">
        <f ca="1">1498.99726566211*OFFSET($L$112,MATCH($N$1,$C$112:$C$113,0)-1,0)</f>
        <v>1498.9972656621101</v>
      </c>
      <c r="F138" s="70">
        <f ca="1">1417.86010505844*OFFSET($L$112,MATCH($N$1,$C$112:$C$113,0)-1,0)</f>
        <v>1417.86010505844</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826.326591271062*OFFSET($L$112,MATCH($N$1,$C$112:$C$113,0)-1,0)</f>
        <v>826.32659127106194</v>
      </c>
      <c r="D139" s="30">
        <f ca="1">1009.77712766018*OFFSET($L$112,MATCH($N$1,$C$112:$C$113,0)-1,0)</f>
        <v>1009.77712766018</v>
      </c>
      <c r="E139" s="30">
        <f ca="1">1387.13220994042*OFFSET($L$112,MATCH($N$1,$C$112:$C$113,0)-1,0)</f>
        <v>1387.1322099404199</v>
      </c>
      <c r="F139" s="70">
        <f ca="1">1023.24534738627*OFFSET($L$112,MATCH($N$1,$C$112:$C$113,0)-1,0)</f>
        <v>1023.2453473862701</v>
      </c>
      <c r="G139" s="206"/>
      <c r="H139" s="206"/>
      <c r="I139" s="46"/>
      <c r="J139" s="206"/>
      <c r="K139" s="71" t="s">
        <v>260</v>
      </c>
      <c r="L139" s="72">
        <f t="shared" ref="L139:M141" ca="1" si="2">C140</f>
        <v>1106.20775</v>
      </c>
      <c r="M139" s="72">
        <f t="shared" ca="1" si="2"/>
        <v>1187.8713124999999</v>
      </c>
      <c r="N139" s="72">
        <f ca="1">E140</f>
        <v>609.42656250000005</v>
      </c>
      <c r="O139" s="72"/>
    </row>
    <row r="140" spans="1:15" ht="18" customHeight="1">
      <c r="A140" s="166" t="s">
        <v>261</v>
      </c>
      <c r="B140" s="33" t="s">
        <v>262</v>
      </c>
      <c r="C140" s="73">
        <f ca="1">1106.20775*OFFSET($L$112,MATCH($N$1,$C$112:$C$113,0)-1,0)</f>
        <v>1106.20775</v>
      </c>
      <c r="D140" s="73">
        <f ca="1">1187.8713125*OFFSET($L$112,MATCH($N$1,$C$112:$C$113,0)-1,0)</f>
        <v>1187.8713124999999</v>
      </c>
      <c r="E140" s="73">
        <f ca="1">609.4265625*OFFSET($L$112,MATCH($N$1,$C$112:$C$113,0)-1,0)</f>
        <v>609.42656250000005</v>
      </c>
      <c r="F140" s="74">
        <f ca="1">1010.149875*OFFSET($L$112,MATCH($N$1,$C$112:$C$113,0)-1,0)</f>
        <v>1010.149875</v>
      </c>
      <c r="G140" s="206"/>
      <c r="H140" s="206"/>
      <c r="I140" s="46"/>
      <c r="J140" s="206"/>
      <c r="K140" s="71" t="s">
        <v>263</v>
      </c>
      <c r="L140" s="72">
        <f t="shared" ca="1" si="2"/>
        <v>938.79362500000002</v>
      </c>
      <c r="M140" s="72">
        <f t="shared" ca="1" si="2"/>
        <v>1087.9327499999999</v>
      </c>
      <c r="N140" s="72">
        <f ca="1">E141</f>
        <v>631.7913125</v>
      </c>
      <c r="O140" s="72"/>
    </row>
    <row r="141" spans="1:15" ht="18" customHeight="1">
      <c r="A141" s="167"/>
      <c r="B141" s="35" t="s">
        <v>264</v>
      </c>
      <c r="C141" s="30">
        <f ca="1">938.793625*OFFSET($L$112,MATCH($N$1,$C$112:$C$113,0)-1,0)</f>
        <v>938.79362500000002</v>
      </c>
      <c r="D141" s="30">
        <f ca="1">1087.93275*OFFSET($L$112,MATCH($N$1,$C$112:$C$113,0)-1,0)</f>
        <v>1087.9327499999999</v>
      </c>
      <c r="E141" s="30">
        <f ca="1">631.7913125*OFFSET($L$112,MATCH($N$1,$C$112:$C$113,0)-1,0)</f>
        <v>631.7913125</v>
      </c>
      <c r="F141" s="70">
        <f ca="1">924.9725625*OFFSET($L$112,MATCH($N$1,$C$112:$C$113,0)-1,0)</f>
        <v>924.97256249999998</v>
      </c>
      <c r="G141" s="206"/>
      <c r="H141" s="206"/>
      <c r="I141" s="46"/>
      <c r="J141" s="206"/>
      <c r="K141" s="71" t="s">
        <v>265</v>
      </c>
      <c r="L141" s="72">
        <f t="shared" ca="1" si="2"/>
        <v>167.41412500000001</v>
      </c>
      <c r="M141" s="72">
        <f t="shared" ca="1" si="2"/>
        <v>99.938562500000003</v>
      </c>
      <c r="N141" s="72">
        <f ca="1">E142</f>
        <v>-22.364750000000001</v>
      </c>
      <c r="O141" s="72"/>
    </row>
    <row r="142" spans="1:15" ht="18" customHeight="1">
      <c r="A142" s="168"/>
      <c r="B142" s="37" t="s">
        <v>266</v>
      </c>
      <c r="C142" s="38">
        <f ca="1">167.414125*OFFSET($L$112,MATCH($N$1,$C$112:$C$113,0)-1,0)</f>
        <v>167.41412500000001</v>
      </c>
      <c r="D142" s="38">
        <f ca="1">99.9385625*OFFSET($L$112,MATCH($N$1,$C$112:$C$113,0)-1,0)</f>
        <v>99.938562500000003</v>
      </c>
      <c r="E142" s="38">
        <f ca="1">-22.36475*OFFSET($L$112,MATCH($N$1,$C$112:$C$113,0)-1,0)</f>
        <v>-22.364750000000001</v>
      </c>
      <c r="F142" s="63">
        <f ca="1">85.177265625*OFFSET($L$112,MATCH($N$1,$C$112:$C$113,0)-1,0)</f>
        <v>85.177265625000004</v>
      </c>
      <c r="G142" s="206"/>
      <c r="H142" s="206"/>
      <c r="I142" s="46"/>
      <c r="J142" s="206"/>
      <c r="K142" s="71" t="s">
        <v>267</v>
      </c>
      <c r="L142" s="75">
        <f ca="1">IFERROR(L140/L$139,"")</f>
        <v>0.84865941772691433</v>
      </c>
      <c r="M142" s="75">
        <f t="shared" ref="M142:N143" ca="1" si="3">IFERROR(M140/M$139,"")</f>
        <v>0.91586751742520933</v>
      </c>
      <c r="N142" s="75">
        <f t="shared" ca="1" si="3"/>
        <v>1.0366980229877985</v>
      </c>
      <c r="O142" s="75"/>
    </row>
    <row r="143" spans="1:15" ht="18" customHeight="1">
      <c r="A143" s="206"/>
      <c r="B143" s="206"/>
      <c r="C143" s="206"/>
      <c r="D143" s="206"/>
      <c r="E143" s="206"/>
      <c r="F143" s="206"/>
      <c r="G143" s="206"/>
      <c r="H143" s="206"/>
      <c r="I143" s="46"/>
      <c r="J143" s="206"/>
      <c r="K143" s="71" t="s">
        <v>268</v>
      </c>
      <c r="L143" s="75">
        <f ca="1">IFERROR(L141/L$139,"")</f>
        <v>0.15134058227308569</v>
      </c>
      <c r="M143" s="75">
        <f t="shared" ca="1" si="3"/>
        <v>8.4132482574790696E-2</v>
      </c>
      <c r="N143" s="75">
        <f t="shared" ca="1" si="3"/>
        <v>-3.6698022987798465E-2</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9</v>
      </c>
      <c r="B161" s="51"/>
      <c r="C161" s="76" t="s">
        <v>249</v>
      </c>
      <c r="D161" s="76" t="s">
        <v>270</v>
      </c>
      <c r="E161" s="76" t="s">
        <v>251</v>
      </c>
      <c r="F161" s="76" t="s">
        <v>271</v>
      </c>
      <c r="G161" s="77">
        <v>9</v>
      </c>
      <c r="H161" s="76"/>
      <c r="I161" s="76" t="s">
        <v>249</v>
      </c>
      <c r="J161" s="76" t="s">
        <v>270</v>
      </c>
      <c r="K161" s="76" t="s">
        <v>251</v>
      </c>
      <c r="L161" s="51" t="s">
        <v>271</v>
      </c>
      <c r="R161" s="206"/>
      <c r="S161" s="206"/>
    </row>
    <row r="162" spans="1:19" s="46" customFormat="1">
      <c r="A162" s="47">
        <v>1</v>
      </c>
      <c r="B162" s="51" t="s">
        <v>162</v>
      </c>
      <c r="C162" s="51">
        <v>0.26921245670995803</v>
      </c>
      <c r="D162" s="51">
        <v>0.35777633812830495</v>
      </c>
      <c r="E162" s="51">
        <v>0.23813419427221799</v>
      </c>
      <c r="F162" s="47">
        <v>553960</v>
      </c>
      <c r="G162" s="47">
        <v>1</v>
      </c>
      <c r="H162" s="51" t="s">
        <v>171</v>
      </c>
      <c r="I162" s="51">
        <v>0.34277728827848736</v>
      </c>
      <c r="J162" s="51">
        <v>0.28620123818052262</v>
      </c>
      <c r="K162" s="51">
        <v>0.21165913248395776</v>
      </c>
      <c r="L162" s="47">
        <v>12153634</v>
      </c>
      <c r="R162" s="206"/>
      <c r="S162" s="206"/>
    </row>
    <row r="163" spans="1:19" s="46" customFormat="1">
      <c r="A163" s="47">
        <v>2</v>
      </c>
      <c r="B163" s="51" t="s">
        <v>161</v>
      </c>
      <c r="C163" s="51">
        <v>0.11679894288534735</v>
      </c>
      <c r="D163" s="51">
        <v>0.16673847423561119</v>
      </c>
      <c r="E163" s="51">
        <v>0.24701140990785597</v>
      </c>
      <c r="F163" s="47">
        <v>3050596</v>
      </c>
      <c r="G163" s="47">
        <v>2</v>
      </c>
      <c r="H163" s="51" t="s">
        <v>162</v>
      </c>
      <c r="I163" s="51">
        <v>0.203648951640236</v>
      </c>
      <c r="J163" s="51">
        <v>0.26076846186989278</v>
      </c>
      <c r="K163" s="51">
        <v>0.1815328495559029</v>
      </c>
      <c r="L163" s="47">
        <v>553960</v>
      </c>
      <c r="N163" s="46" t="s">
        <v>272</v>
      </c>
      <c r="R163" s="206"/>
      <c r="S163" s="206"/>
    </row>
    <row r="164" spans="1:19" s="46" customFormat="1">
      <c r="A164" s="47">
        <v>3</v>
      </c>
      <c r="B164" s="51" t="s">
        <v>168</v>
      </c>
      <c r="C164" s="51">
        <v>9.5914475677920275E-2</v>
      </c>
      <c r="D164" s="51">
        <v>9.1620877454886687E-2</v>
      </c>
      <c r="E164" s="51">
        <v>0</v>
      </c>
      <c r="F164" s="47">
        <v>3689192</v>
      </c>
      <c r="G164" s="47">
        <v>3</v>
      </c>
      <c r="H164" s="51" t="s">
        <v>161</v>
      </c>
      <c r="I164" s="51">
        <v>9.4391650023538817E-2</v>
      </c>
      <c r="J164" s="51">
        <v>0.14203378602452554</v>
      </c>
      <c r="K164" s="51">
        <v>0.23223754333735175</v>
      </c>
      <c r="L164" s="47">
        <v>3050596</v>
      </c>
      <c r="N164" s="46" t="s">
        <v>273</v>
      </c>
      <c r="R164" s="206"/>
      <c r="S164" s="206"/>
    </row>
    <row r="165" spans="1:19" s="46" customFormat="1">
      <c r="A165" s="47">
        <v>4</v>
      </c>
      <c r="B165" s="51" t="s">
        <v>171</v>
      </c>
      <c r="C165" s="51">
        <v>0</v>
      </c>
      <c r="D165" s="51">
        <v>7.6042256537669939E-2</v>
      </c>
      <c r="E165" s="51">
        <v>5.231186599743641E-2</v>
      </c>
      <c r="F165" s="47">
        <v>12153634</v>
      </c>
      <c r="G165" s="47">
        <v>4</v>
      </c>
      <c r="H165" s="51" t="s">
        <v>286</v>
      </c>
      <c r="I165" s="51">
        <v>6.592483189779802E-2</v>
      </c>
      <c r="J165" s="51">
        <v>7.1150857881723775E-2</v>
      </c>
      <c r="K165" s="51">
        <v>0</v>
      </c>
      <c r="L165" s="47">
        <v>1692097</v>
      </c>
      <c r="R165" s="206"/>
      <c r="S165" s="206"/>
    </row>
    <row r="166" spans="1:19" s="46" customFormat="1">
      <c r="A166" s="47">
        <v>5</v>
      </c>
      <c r="B166" s="51" t="s">
        <v>535</v>
      </c>
      <c r="C166" s="51">
        <v>0.10255741286522133</v>
      </c>
      <c r="D166" s="51">
        <v>6.6685064745794317E-2</v>
      </c>
      <c r="E166" s="51">
        <v>0</v>
      </c>
      <c r="F166" s="47">
        <v>2480382</v>
      </c>
      <c r="G166" s="47">
        <v>5</v>
      </c>
      <c r="H166" s="51" t="s">
        <v>168</v>
      </c>
      <c r="I166" s="51">
        <v>6.4398407347723244E-2</v>
      </c>
      <c r="J166" s="51">
        <v>6.3955183561163878E-2</v>
      </c>
      <c r="K166" s="51">
        <v>0</v>
      </c>
      <c r="L166" s="47">
        <v>3689192</v>
      </c>
      <c r="R166" s="206"/>
      <c r="S166" s="206"/>
    </row>
    <row r="167" spans="1:19" s="46" customFormat="1">
      <c r="A167" s="47">
        <v>6</v>
      </c>
      <c r="B167" s="51" t="s">
        <v>310</v>
      </c>
      <c r="C167" s="51">
        <v>0</v>
      </c>
      <c r="D167" s="51">
        <v>0</v>
      </c>
      <c r="E167" s="51">
        <v>0.14206101132103371</v>
      </c>
      <c r="F167" s="47">
        <v>7434864</v>
      </c>
      <c r="G167" s="47">
        <v>6</v>
      </c>
      <c r="H167" s="51" t="s">
        <v>310</v>
      </c>
      <c r="I167" s="51">
        <v>0</v>
      </c>
      <c r="J167" s="51">
        <v>0</v>
      </c>
      <c r="K167" s="51">
        <v>0.1069881124741872</v>
      </c>
      <c r="L167" s="47">
        <v>7434864</v>
      </c>
      <c r="R167" s="206"/>
      <c r="S167" s="206"/>
    </row>
    <row r="168" spans="1:19" s="46" customFormat="1">
      <c r="A168" s="47">
        <v>7</v>
      </c>
      <c r="B168" s="51" t="s">
        <v>172</v>
      </c>
      <c r="C168" s="51">
        <v>0.10483854579278103</v>
      </c>
      <c r="D168" s="51">
        <v>0</v>
      </c>
      <c r="E168" s="51">
        <v>6.18970886439082E-2</v>
      </c>
      <c r="F168" s="47">
        <v>11115023</v>
      </c>
      <c r="G168" s="47">
        <v>7</v>
      </c>
      <c r="H168" s="51" t="s">
        <v>326</v>
      </c>
      <c r="I168" s="51">
        <v>0</v>
      </c>
      <c r="J168" s="51">
        <v>0</v>
      </c>
      <c r="K168" s="51">
        <v>5.1911555120977768E-2</v>
      </c>
      <c r="L168" s="47">
        <v>8497745</v>
      </c>
      <c r="R168" s="206"/>
      <c r="S168" s="206"/>
    </row>
    <row r="169" spans="1:19" s="46" customFormat="1">
      <c r="A169" s="47">
        <v>8</v>
      </c>
      <c r="B169" s="51" t="s">
        <v>245</v>
      </c>
      <c r="C169" s="51">
        <v>0.31067816606877208</v>
      </c>
      <c r="D169" s="51">
        <v>0.24113698889773294</v>
      </c>
      <c r="E169" s="51">
        <v>0.2585844298575477</v>
      </c>
      <c r="F169" s="47">
        <v>5920853</v>
      </c>
      <c r="G169" s="47">
        <v>8</v>
      </c>
      <c r="H169" s="51" t="s">
        <v>245</v>
      </c>
      <c r="I169" s="51">
        <v>0.22885887081221656</v>
      </c>
      <c r="J169" s="51">
        <v>0.17589047248217127</v>
      </c>
      <c r="K169" s="51">
        <v>0.21567080702762265</v>
      </c>
      <c r="L169" s="47">
        <v>5920853</v>
      </c>
      <c r="R169" s="206"/>
      <c r="S169" s="206"/>
    </row>
    <row r="170" spans="1:19" s="46" customFormat="1">
      <c r="A170" s="47">
        <v>9</v>
      </c>
      <c r="B170" s="51"/>
      <c r="C170" s="51">
        <v>0</v>
      </c>
      <c r="D170" s="51">
        <v>0</v>
      </c>
      <c r="E170" s="51">
        <v>0</v>
      </c>
      <c r="F170" s="47"/>
      <c r="G170" s="47">
        <v>9</v>
      </c>
      <c r="H170" s="51"/>
      <c r="I170" s="51">
        <v>0</v>
      </c>
      <c r="J170" s="51">
        <v>0</v>
      </c>
      <c r="K170" s="51">
        <v>0</v>
      </c>
      <c r="L170" s="47"/>
      <c r="R170" s="206"/>
      <c r="S170" s="206"/>
    </row>
    <row r="171" spans="1:19" s="46" customFormat="1">
      <c r="A171" s="47">
        <v>10</v>
      </c>
      <c r="B171" s="51"/>
      <c r="C171" s="51">
        <v>0</v>
      </c>
      <c r="D171" s="51">
        <v>0</v>
      </c>
      <c r="E171" s="51">
        <v>0</v>
      </c>
      <c r="F171" s="47"/>
      <c r="G171" s="47">
        <v>10</v>
      </c>
      <c r="H171" s="51"/>
      <c r="I171" s="51">
        <v>0</v>
      </c>
      <c r="J171" s="51">
        <v>0</v>
      </c>
      <c r="K171" s="51">
        <v>0</v>
      </c>
      <c r="L171" s="47"/>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B5DC41D3-7C51-4738-8117-6E45995EB2DA}">
      <formula1>$C$112:$C$113</formula1>
    </dataValidation>
  </dataValidations>
  <hyperlinks>
    <hyperlink ref="O1:P1" location="Home_page" display="Back to home page" xr:uid="{9B71BF69-4919-4D8E-BB14-D748D409C5CA}"/>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33571E36-A3E7-4476-82CB-45BBCAB0E9DA}">
          <x14:colorSeries rgb="FF323232"/>
          <x14:colorNegative rgb="FFD00000"/>
          <x14:colorAxis rgb="FF000000"/>
          <x14:colorMarkers rgb="FFD00000"/>
          <x14:colorFirst rgb="FFD00000"/>
          <x14:colorLast rgb="FFD00000"/>
          <x14:colorHigh rgb="FFD00000"/>
          <x14:colorLow rgb="FFD00000"/>
          <x14:sparklines>
            <x14:sparkline>
              <xm:f>'South West beamers o250kW'!D3:N3</xm:f>
              <xm:sqref>C3</xm:sqref>
            </x14:sparkline>
            <x14:sparkline>
              <xm:f>'South West beamers o250kW'!D4:N4</xm:f>
              <xm:sqref>C4</xm:sqref>
            </x14:sparkline>
            <x14:sparkline>
              <xm:f>'South West beamers o250kW'!D5:N5</xm:f>
              <xm:sqref>C5</xm:sqref>
            </x14:sparkline>
            <x14:sparkline>
              <xm:f>'South West beamers o250kW'!D6:N6</xm:f>
              <xm:sqref>C6</xm:sqref>
            </x14:sparkline>
            <x14:sparkline>
              <xm:f>'South West beamers o250kW'!D7:N7</xm:f>
              <xm:sqref>C7</xm:sqref>
            </x14:sparkline>
            <x14:sparkline>
              <xm:f>'South West beamers o250kW'!D8:N8</xm:f>
              <xm:sqref>C8</xm:sqref>
            </x14:sparkline>
            <x14:sparkline>
              <xm:f>'South West beamers o250kW'!D9:N9</xm:f>
              <xm:sqref>C9</xm:sqref>
            </x14:sparkline>
            <x14:sparkline>
              <xm:f>'South West beamers o250kW'!D10:N10</xm:f>
              <xm:sqref>C10</xm:sqref>
            </x14:sparkline>
            <x14:sparkline>
              <xm:f>'South West beamers o250kW'!D11:N11</xm:f>
              <xm:sqref>C11</xm:sqref>
            </x14:sparkline>
            <x14:sparkline>
              <xm:f>'South West beamers o250kW'!D12:N12</xm:f>
              <xm:sqref>C12</xm:sqref>
            </x14:sparkline>
            <x14:sparkline>
              <xm:f>'South West beamers o250kW'!D13:N13</xm:f>
              <xm:sqref>C13</xm:sqref>
            </x14:sparkline>
            <x14:sparkline>
              <xm:f>'South West beamers o250kW'!D14:N14</xm:f>
              <xm:sqref>C14</xm:sqref>
            </x14:sparkline>
            <x14:sparkline>
              <xm:f>'South West beamers o250kW'!D15:N15</xm:f>
              <xm:sqref>C15</xm:sqref>
            </x14:sparkline>
            <x14:sparkline>
              <xm:f>'South West beamers o250kW'!D16:N16</xm:f>
              <xm:sqref>C16</xm:sqref>
            </x14:sparkline>
            <x14:sparkline>
              <xm:f>'South West beamers o250kW'!D17:N17</xm:f>
              <xm:sqref>C17</xm:sqref>
            </x14:sparkline>
            <x14:sparkline>
              <xm:f>'South West beamers o250kW'!D18:N18</xm:f>
              <xm:sqref>C18</xm:sqref>
            </x14:sparkline>
            <x14:sparkline>
              <xm:f>'South West beamers o250kW'!D19:N19</xm:f>
              <xm:sqref>C19</xm:sqref>
            </x14:sparkline>
            <x14:sparkline>
              <xm:f>'South West beamers o250kW'!D20:N20</xm:f>
              <xm:sqref>C20</xm:sqref>
            </x14:sparkline>
            <x14:sparkline>
              <xm:f>'South West beamers o250kW'!D21:N21</xm:f>
              <xm:sqref>C21</xm:sqref>
            </x14:sparkline>
            <x14:sparkline>
              <xm:f>'South West beamers o250kW'!D22:N22</xm:f>
              <xm:sqref>C22</xm:sqref>
            </x14:sparkline>
            <x14:sparkline>
              <xm:f>'South West beamers o250kW'!D23:N23</xm:f>
              <xm:sqref>C23</xm:sqref>
            </x14:sparkline>
            <x14:sparkline>
              <xm:f>'South West beamers o250kW'!D24:N24</xm:f>
              <xm:sqref>C24</xm:sqref>
            </x14:sparkline>
            <x14:sparkline>
              <xm:f>'South West beamers o250kW'!D25:N25</xm:f>
              <xm:sqref>C25</xm:sqref>
            </x14:sparkline>
            <x14:sparkline>
              <xm:f>'South West beamers o250kW'!D26:N26</xm:f>
              <xm:sqref>C26</xm:sqref>
            </x14:sparkline>
            <x14:sparkline>
              <xm:f>'South West beamers o250kW'!D27:N27</xm:f>
              <xm:sqref>C27</xm:sqref>
            </x14:sparkline>
            <x14:sparkline>
              <xm:f>'South West beamers o250kW'!D28:N28</xm:f>
              <xm:sqref>C28</xm:sqref>
            </x14:sparkline>
            <x14:sparkline>
              <xm:f>'South West beamers o250kW'!D29:N29</xm:f>
              <xm:sqref>C29</xm:sqref>
            </x14:sparkline>
            <x14:sparkline>
              <xm:f>'South West beamers o250kW'!D30:N30</xm:f>
              <xm:sqref>C30</xm:sqref>
            </x14:sparkline>
            <x14:sparkline>
              <xm:f>'South West beamers o250kW'!D31:N31</xm:f>
              <xm:sqref>C31</xm:sqref>
            </x14:sparkline>
            <x14:sparkline>
              <xm:f>'South West beamers o250kW'!D32:N32</xm:f>
              <xm:sqref>C32</xm:sqref>
            </x14:sparkline>
            <x14:sparkline>
              <xm:f>'South West beamers o250kW'!D33:N33</xm:f>
              <xm:sqref>C33</xm:sqref>
            </x14:sparkline>
            <x14:sparkline>
              <xm:f>'South West beamers o250kW'!D34:N34</xm:f>
              <xm:sqref>C34</xm:sqref>
            </x14:sparkline>
            <x14:sparkline>
              <xm:f>'South West beamers o250kW'!D35:N35</xm:f>
              <xm:sqref>C35</xm:sqref>
            </x14:sparkline>
            <x14:sparkline>
              <xm:f>'South West beamers o250kW'!D36:N36</xm:f>
              <xm:sqref>C36</xm:sqref>
            </x14:sparkline>
            <x14:sparkline>
              <xm:f>'South West beamers o250kW'!D37:N37</xm:f>
              <xm:sqref>C37</xm:sqref>
            </x14:sparkline>
            <x14:sparkline>
              <xm:f>'South West beamers o250kW'!D38:N38</xm:f>
              <xm:sqref>C38</xm:sqref>
            </x14:sparkline>
            <x14:sparkline>
              <xm:f>'South West beamers o250kW'!D39:N39</xm:f>
              <xm:sqref>C39</xm:sqref>
            </x14:sparkline>
            <x14:sparkline>
              <xm:f>'South West beamers o250kW'!D40:N40</xm:f>
              <xm:sqref>C40</xm:sqref>
            </x14:sparkline>
            <x14:sparkline>
              <xm:f>'South West beamers o250kW'!D41:N41</xm:f>
              <xm:sqref>C41</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64582-955C-4F09-A10D-A75D0A303AC6}">
  <sheetPr codeName="Feuil30">
    <pageSetUpPr fitToPage="1"/>
  </sheetPr>
  <dimension ref="A1:S192"/>
  <sheetViews>
    <sheetView topLeftCell="A46"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32</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19</v>
      </c>
      <c r="E3" s="27">
        <v>23</v>
      </c>
      <c r="F3" s="27">
        <v>27</v>
      </c>
      <c r="G3" s="27">
        <v>25</v>
      </c>
      <c r="H3" s="27">
        <v>23</v>
      </c>
      <c r="I3" s="27">
        <v>24</v>
      </c>
      <c r="J3" s="27">
        <v>23</v>
      </c>
      <c r="K3" s="27">
        <v>22</v>
      </c>
      <c r="L3" s="27">
        <v>25</v>
      </c>
      <c r="M3" s="27">
        <v>22</v>
      </c>
      <c r="N3" s="27">
        <v>25</v>
      </c>
      <c r="O3" s="28">
        <f t="shared" ref="O3:O41" si="0">IF(N3=0,"",IFERROR(IF(AND(N3&gt;0,D3&lt;0),"na",IF(AND(N3&lt;0,D3&lt;0),-1,1)*(N3-D3)/D3),""))</f>
        <v>0.31578947368421051</v>
      </c>
      <c r="P3" s="28">
        <f t="shared" ref="P3:P41" si="1">IF(N3=0,"",IFERROR(IF(AND(N3&gt;0,J3&lt;0),"na",IF(AND(N3&lt;0,J3&lt;0),-1,1)*(N3-J3)/J3),""))</f>
        <v>8.6956521739130432E-2</v>
      </c>
      <c r="Q3" s="206"/>
    </row>
    <row r="4" spans="1:17" ht="18" customHeight="1">
      <c r="A4" s="172"/>
      <c r="B4" s="29" t="s">
        <v>184</v>
      </c>
      <c r="C4" s="30"/>
      <c r="D4" s="30">
        <v>4052</v>
      </c>
      <c r="E4" s="30">
        <v>5012</v>
      </c>
      <c r="F4" s="30">
        <v>5876</v>
      </c>
      <c r="G4" s="30">
        <v>5452</v>
      </c>
      <c r="H4" s="30">
        <v>5031</v>
      </c>
      <c r="I4" s="30">
        <v>5253</v>
      </c>
      <c r="J4" s="30">
        <v>5032</v>
      </c>
      <c r="K4" s="30">
        <v>4811</v>
      </c>
      <c r="L4" s="30">
        <v>5454</v>
      </c>
      <c r="M4" s="30">
        <v>4805</v>
      </c>
      <c r="N4" s="30">
        <v>5449</v>
      </c>
      <c r="O4" s="28">
        <f t="shared" si="0"/>
        <v>0.34476801579466931</v>
      </c>
      <c r="P4" s="28">
        <f t="shared" si="1"/>
        <v>8.286963434022257E-2</v>
      </c>
      <c r="Q4" s="206"/>
    </row>
    <row r="5" spans="1:17" ht="18" customHeight="1">
      <c r="A5" s="172"/>
      <c r="B5" s="29" t="s">
        <v>185</v>
      </c>
      <c r="C5" s="30"/>
      <c r="D5" s="30">
        <v>1817</v>
      </c>
      <c r="E5" s="30">
        <v>2472</v>
      </c>
      <c r="F5" s="30">
        <v>2663</v>
      </c>
      <c r="G5" s="30">
        <v>2596</v>
      </c>
      <c r="H5" s="30">
        <v>2597</v>
      </c>
      <c r="I5" s="30">
        <v>2539</v>
      </c>
      <c r="J5" s="30">
        <v>2389</v>
      </c>
      <c r="K5" s="30">
        <v>2359</v>
      </c>
      <c r="L5" s="30">
        <v>2461</v>
      </c>
      <c r="M5" s="30">
        <v>2305</v>
      </c>
      <c r="N5" s="30">
        <v>2340</v>
      </c>
      <c r="O5" s="28">
        <f t="shared" si="0"/>
        <v>0.28783709411117225</v>
      </c>
      <c r="P5" s="28">
        <f t="shared" si="1"/>
        <v>-2.0510673922143157E-2</v>
      </c>
      <c r="Q5" s="207"/>
    </row>
    <row r="6" spans="1:17" ht="18" customHeight="1">
      <c r="A6" s="172"/>
      <c r="B6" s="29" t="s">
        <v>186</v>
      </c>
      <c r="C6" s="30"/>
      <c r="D6" s="30">
        <v>4266.09375</v>
      </c>
      <c r="E6" s="30">
        <v>5436.82470703125</v>
      </c>
      <c r="F6" s="30">
        <v>6127.19482421875</v>
      </c>
      <c r="G6" s="30">
        <v>5793.390625</v>
      </c>
      <c r="H6" s="30">
        <v>5474.92822265625</v>
      </c>
      <c r="I6" s="30">
        <v>5629.2255859375</v>
      </c>
      <c r="J6" s="30">
        <v>5366.779296875</v>
      </c>
      <c r="K6" s="30">
        <v>5195.689453125</v>
      </c>
      <c r="L6" s="30">
        <v>5717.27099609375</v>
      </c>
      <c r="M6" s="30">
        <v>5133.99462890625</v>
      </c>
      <c r="N6" s="30">
        <v>5561.47265625</v>
      </c>
      <c r="O6" s="28">
        <f t="shared" si="0"/>
        <v>0.30364520382375565</v>
      </c>
      <c r="P6" s="28">
        <f t="shared" si="1"/>
        <v>3.6277504366234552E-2</v>
      </c>
      <c r="Q6" s="206"/>
    </row>
    <row r="7" spans="1:17" ht="18" customHeight="1">
      <c r="A7" s="172"/>
      <c r="B7" s="29" t="s">
        <v>187</v>
      </c>
      <c r="C7" s="30"/>
      <c r="D7" s="30">
        <v>3467.233154296875</v>
      </c>
      <c r="E7" s="30">
        <v>4105.9521484375</v>
      </c>
      <c r="F7" s="30">
        <v>6154.83984375</v>
      </c>
      <c r="G7" s="30">
        <v>5894.142578125</v>
      </c>
      <c r="H7" s="30">
        <v>5080.89013671875</v>
      </c>
      <c r="I7" s="30">
        <v>5238.453125</v>
      </c>
      <c r="J7" s="30">
        <v>4810.5810546875</v>
      </c>
      <c r="K7" s="30">
        <v>4558.4326171875</v>
      </c>
      <c r="L7" s="30">
        <v>4549.88330078125</v>
      </c>
      <c r="M7" s="30">
        <v>4590.57666015625</v>
      </c>
      <c r="N7" s="30">
        <v>4225.04638671875</v>
      </c>
      <c r="O7" s="28">
        <f t="shared" si="0"/>
        <v>0.21856425532927651</v>
      </c>
      <c r="P7" s="28">
        <f t="shared" si="1"/>
        <v>-0.12171807549073443</v>
      </c>
      <c r="Q7" s="206"/>
    </row>
    <row r="8" spans="1:17" ht="18" customHeight="1">
      <c r="A8" s="172"/>
      <c r="B8" s="29" t="s">
        <v>188</v>
      </c>
      <c r="C8" s="31"/>
      <c r="D8" s="31">
        <f ca="1">12.161488*OFFSET(D$112,MATCH($N$1,$C$112:$C$113,0)-1,0)</f>
        <v>12.161488</v>
      </c>
      <c r="E8" s="31">
        <f ca="1">15.651915*OFFSET(E$112,MATCH($N$1,$C$112:$C$113,0)-1,0)</f>
        <v>15.651915000000001</v>
      </c>
      <c r="F8" s="31">
        <f ca="1">18.91579*OFFSET(F$112,MATCH($N$1,$C$112:$C$113,0)-1,0)</f>
        <v>18.915790000000001</v>
      </c>
      <c r="G8" s="31">
        <f ca="1">17.44792*OFFSET(G$112,MATCH($N$1,$C$112:$C$113,0)-1,0)</f>
        <v>17.44792</v>
      </c>
      <c r="H8" s="31">
        <f ca="1">15.547539*OFFSET(H$112,MATCH($N$1,$C$112:$C$113,0)-1,0)</f>
        <v>15.547539</v>
      </c>
      <c r="I8" s="31">
        <f ca="1">14.815331*OFFSET(I$112,MATCH($N$1,$C$112:$C$113,0)-1,0)</f>
        <v>14.815331</v>
      </c>
      <c r="J8" s="31">
        <f ca="1">16.87882*OFFSET(J$112,MATCH($N$1,$C$112:$C$113,0)-1,0)</f>
        <v>16.878820000000001</v>
      </c>
      <c r="K8" s="31">
        <f ca="1">18.077382*OFFSET(K$112,MATCH($N$1,$C$112:$C$113,0)-1,0)</f>
        <v>18.077382</v>
      </c>
      <c r="L8" s="31">
        <f ca="1">17.790254*OFFSET(L$112,MATCH($N$1,$C$112:$C$113,0)-1,0)</f>
        <v>17.790254000000001</v>
      </c>
      <c r="M8" s="31">
        <f ca="1">16.337251*OFFSET(M$112,MATCH($N$1,$C$112:$C$113,0)-1,0)</f>
        <v>16.337250999999998</v>
      </c>
      <c r="N8" s="31">
        <v>13.807167999999999</v>
      </c>
      <c r="O8" s="28">
        <f t="shared" ca="1" si="0"/>
        <v>0.13531896754739212</v>
      </c>
      <c r="P8" s="28">
        <f t="shared" ca="1" si="1"/>
        <v>-0.18198262674760451</v>
      </c>
      <c r="Q8" s="206"/>
    </row>
    <row r="9" spans="1:17" ht="18" customHeight="1">
      <c r="A9" s="172"/>
      <c r="B9" s="29" t="s">
        <v>189</v>
      </c>
      <c r="C9" s="30"/>
      <c r="D9" s="30">
        <v>4665</v>
      </c>
      <c r="E9" s="30">
        <v>4942</v>
      </c>
      <c r="F9" s="30">
        <v>6583</v>
      </c>
      <c r="G9" s="30">
        <v>6207</v>
      </c>
      <c r="H9" s="30">
        <v>5506</v>
      </c>
      <c r="I9" s="30">
        <v>5318</v>
      </c>
      <c r="J9" s="30">
        <v>5368</v>
      </c>
      <c r="K9" s="30">
        <v>5005</v>
      </c>
      <c r="L9" s="30">
        <v>5492</v>
      </c>
      <c r="M9" s="30">
        <v>4937</v>
      </c>
      <c r="N9" s="30">
        <v>4970</v>
      </c>
      <c r="O9" s="28">
        <f t="shared" si="0"/>
        <v>6.5380493033226156E-2</v>
      </c>
      <c r="P9" s="28">
        <f t="shared" si="1"/>
        <v>-7.4143070044709394E-2</v>
      </c>
      <c r="Q9" s="206"/>
    </row>
    <row r="10" spans="1:17" ht="18" customHeight="1">
      <c r="A10" s="172"/>
      <c r="B10" s="29" t="s">
        <v>190</v>
      </c>
      <c r="C10" s="30"/>
      <c r="D10" s="30">
        <v>157.40797424316406</v>
      </c>
      <c r="E10" s="30">
        <v>157.55348205566406</v>
      </c>
      <c r="F10" s="30">
        <v>237.54789733886719</v>
      </c>
      <c r="G10" s="30">
        <v>218.60084533691406</v>
      </c>
      <c r="H10" s="30">
        <v>150.22053527832031</v>
      </c>
      <c r="I10" s="30">
        <v>152.20950317382813</v>
      </c>
      <c r="J10" s="30">
        <v>110.97505187988281</v>
      </c>
      <c r="K10" s="30">
        <v>171.23004150390625</v>
      </c>
      <c r="L10" s="30">
        <v>150.76272583007813</v>
      </c>
      <c r="M10" s="30">
        <v>157.24398803710938</v>
      </c>
      <c r="N10" s="30">
        <v>154.74790954589844</v>
      </c>
      <c r="O10" s="32">
        <f t="shared" si="0"/>
        <v>-1.6899173692155857E-2</v>
      </c>
      <c r="P10" s="32">
        <f t="shared" si="1"/>
        <v>0.39443872225799448</v>
      </c>
      <c r="Q10" s="206"/>
    </row>
    <row r="11" spans="1:17" ht="18" customHeight="1">
      <c r="A11" s="173" t="s">
        <v>191</v>
      </c>
      <c r="B11" s="33" t="s">
        <v>192</v>
      </c>
      <c r="C11" s="34"/>
      <c r="D11" s="34">
        <v>20.610000610351563</v>
      </c>
      <c r="E11" s="34">
        <v>21.653913497924805</v>
      </c>
      <c r="F11" s="34">
        <v>20.478147506713867</v>
      </c>
      <c r="G11" s="34">
        <v>21.013198852539063</v>
      </c>
      <c r="H11" s="34">
        <v>21.566085815429688</v>
      </c>
      <c r="I11" s="34">
        <v>21.382499694824219</v>
      </c>
      <c r="J11" s="34">
        <v>21.270000457763672</v>
      </c>
      <c r="K11" s="34">
        <v>21.602727890014648</v>
      </c>
      <c r="L11" s="34">
        <v>20.686800003051758</v>
      </c>
      <c r="M11" s="34">
        <v>21.149545669555664</v>
      </c>
      <c r="N11" s="34">
        <v>19.657600402832031</v>
      </c>
      <c r="O11" s="28">
        <f t="shared" si="0"/>
        <v>-4.6210586089996501E-2</v>
      </c>
      <c r="P11" s="28">
        <f t="shared" si="1"/>
        <v>-7.5806300904102966E-2</v>
      </c>
      <c r="Q11" s="206"/>
    </row>
    <row r="12" spans="1:17" ht="18" customHeight="1">
      <c r="A12" s="174"/>
      <c r="B12" s="35" t="s">
        <v>184</v>
      </c>
      <c r="C12" s="30"/>
      <c r="D12" s="30">
        <v>213.26315307617188</v>
      </c>
      <c r="E12" s="30">
        <v>217.91304016113281</v>
      </c>
      <c r="F12" s="30">
        <v>217.62962341308594</v>
      </c>
      <c r="G12" s="30">
        <v>218.08000183105469</v>
      </c>
      <c r="H12" s="30">
        <v>218.7391357421875</v>
      </c>
      <c r="I12" s="30">
        <v>218.875</v>
      </c>
      <c r="J12" s="30">
        <v>218.78260803222656</v>
      </c>
      <c r="K12" s="30">
        <v>218.68182373046875</v>
      </c>
      <c r="L12" s="30">
        <v>218.16000366210938</v>
      </c>
      <c r="M12" s="30">
        <v>218.40908813476563</v>
      </c>
      <c r="N12" s="30">
        <v>217.96000671386719</v>
      </c>
      <c r="O12" s="28">
        <f t="shared" si="0"/>
        <v>2.2023746577627137E-2</v>
      </c>
      <c r="P12" s="28">
        <f t="shared" si="1"/>
        <v>-3.7599026986560387E-3</v>
      </c>
      <c r="Q12" s="206"/>
    </row>
    <row r="13" spans="1:17" ht="18" customHeight="1">
      <c r="A13" s="174"/>
      <c r="B13" s="35" t="s">
        <v>185</v>
      </c>
      <c r="C13" s="30"/>
      <c r="D13" s="30">
        <v>95.631576538085938</v>
      </c>
      <c r="E13" s="30">
        <v>107.47826385498047</v>
      </c>
      <c r="F13" s="30">
        <v>98.629631042480469</v>
      </c>
      <c r="G13" s="30">
        <v>103.83999633789063</v>
      </c>
      <c r="H13" s="30">
        <v>112.91304016113281</v>
      </c>
      <c r="I13" s="30">
        <v>105.79166412353516</v>
      </c>
      <c r="J13" s="30">
        <v>103.86956787109375</v>
      </c>
      <c r="K13" s="30">
        <v>107.22727203369141</v>
      </c>
      <c r="L13" s="30">
        <v>98.44000244140625</v>
      </c>
      <c r="M13" s="30">
        <v>104.77272796630859</v>
      </c>
      <c r="N13" s="30">
        <v>93.599998474121094</v>
      </c>
      <c r="O13" s="28">
        <f t="shared" si="0"/>
        <v>-2.1243799773140348E-2</v>
      </c>
      <c r="P13" s="28">
        <f t="shared" si="1"/>
        <v>-9.8869857721152726E-2</v>
      </c>
      <c r="Q13" s="206"/>
    </row>
    <row r="14" spans="1:17" ht="18" customHeight="1">
      <c r="A14" s="174"/>
      <c r="B14" s="35" t="s">
        <v>186</v>
      </c>
      <c r="C14" s="30"/>
      <c r="D14" s="30">
        <v>224.53125</v>
      </c>
      <c r="E14" s="30">
        <v>236.38368225097656</v>
      </c>
      <c r="F14" s="30">
        <v>226.93313598632813</v>
      </c>
      <c r="G14" s="30">
        <v>231.73562622070313</v>
      </c>
      <c r="H14" s="30">
        <v>238.04034423828125</v>
      </c>
      <c r="I14" s="30">
        <v>234.55105590820313</v>
      </c>
      <c r="J14" s="30">
        <v>233.33824157714844</v>
      </c>
      <c r="K14" s="30">
        <v>236.16769409179688</v>
      </c>
      <c r="L14" s="30">
        <v>228.69084167480469</v>
      </c>
      <c r="M14" s="30">
        <v>233.36338806152344</v>
      </c>
      <c r="N14" s="30">
        <v>222.45892333984375</v>
      </c>
      <c r="O14" s="28">
        <f t="shared" si="0"/>
        <v>-9.2295689805149614E-3</v>
      </c>
      <c r="P14" s="28">
        <f t="shared" si="1"/>
        <v>-4.6624668823124167E-2</v>
      </c>
      <c r="Q14" s="206"/>
    </row>
    <row r="15" spans="1:17" ht="18" customHeight="1">
      <c r="A15" s="174"/>
      <c r="B15" s="35" t="s">
        <v>187</v>
      </c>
      <c r="C15" s="31"/>
      <c r="D15" s="31">
        <v>182.48594665527344</v>
      </c>
      <c r="E15" s="31">
        <v>178.51966857910156</v>
      </c>
      <c r="F15" s="31">
        <v>227.95703125</v>
      </c>
      <c r="G15" s="31">
        <v>235.76571655273438</v>
      </c>
      <c r="H15" s="31">
        <v>220.90826416015625</v>
      </c>
      <c r="I15" s="31">
        <v>218.26887512207031</v>
      </c>
      <c r="J15" s="31">
        <v>209.15570068359375</v>
      </c>
      <c r="K15" s="31">
        <v>207.20149230957031</v>
      </c>
      <c r="L15" s="31">
        <v>181.99533081054688</v>
      </c>
      <c r="M15" s="31">
        <v>208.66256713867188</v>
      </c>
      <c r="N15" s="31">
        <v>169.00186157226563</v>
      </c>
      <c r="O15" s="28">
        <f t="shared" si="0"/>
        <v>-7.3891087670877112E-2</v>
      </c>
      <c r="P15" s="28">
        <f t="shared" si="1"/>
        <v>-0.19198061052168972</v>
      </c>
      <c r="Q15" s="206"/>
    </row>
    <row r="16" spans="1:17" ht="18" customHeight="1">
      <c r="A16" s="174"/>
      <c r="B16" s="35" t="s">
        <v>193</v>
      </c>
      <c r="C16" s="31"/>
      <c r="D16" s="31">
        <f ca="1">640.0783125*OFFSET(D$112,MATCH($N$1,$C$112:$C$113,0)-1,0)</f>
        <v>640.07831250000004</v>
      </c>
      <c r="E16" s="31">
        <f ca="1">680.5180625*OFFSET(E$112,MATCH($N$1,$C$112:$C$113,0)-1,0)</f>
        <v>680.51806250000004</v>
      </c>
      <c r="F16" s="31">
        <f ca="1">700.5848125*OFFSET(F$112,MATCH($N$1,$C$112:$C$113,0)-1,0)</f>
        <v>700.5848125</v>
      </c>
      <c r="G16" s="31">
        <f ca="1">697.91675*OFFSET(G$112,MATCH($N$1,$C$112:$C$113,0)-1,0)</f>
        <v>697.91674999999998</v>
      </c>
      <c r="H16" s="31">
        <f ca="1">675.98*OFFSET(H$112,MATCH($N$1,$C$112:$C$113,0)-1,0)</f>
        <v>675.98</v>
      </c>
      <c r="I16" s="31">
        <f ca="1">617.3054375*OFFSET(I$112,MATCH($N$1,$C$112:$C$113,0)-1,0)</f>
        <v>617.30543750000004</v>
      </c>
      <c r="J16" s="31">
        <f ca="1">733.86175*OFFSET(J$112,MATCH($N$1,$C$112:$C$113,0)-1,0)</f>
        <v>733.86175000000003</v>
      </c>
      <c r="K16" s="31">
        <f ca="1">821.6991875*OFFSET(K$112,MATCH($N$1,$C$112:$C$113,0)-1,0)</f>
        <v>821.69918749999999</v>
      </c>
      <c r="L16" s="31">
        <f ca="1">711.6101875*OFFSET(L$112,MATCH($N$1,$C$112:$C$113,0)-1,0)</f>
        <v>711.61018750000005</v>
      </c>
      <c r="M16" s="31">
        <f ca="1">742.6023125*OFFSET(M$112,MATCH($N$1,$C$112:$C$113,0)-1,0)</f>
        <v>742.60231250000004</v>
      </c>
      <c r="N16" s="31">
        <v>552.28668749999997</v>
      </c>
      <c r="O16" s="28">
        <f t="shared" ca="1" si="0"/>
        <v>-0.13715763100472189</v>
      </c>
      <c r="P16" s="28">
        <f t="shared" ca="1" si="1"/>
        <v>-0.24742407204081701</v>
      </c>
      <c r="Q16" s="206"/>
    </row>
    <row r="17" spans="1:16" ht="18" customHeight="1">
      <c r="A17" s="174"/>
      <c r="B17" s="35" t="s">
        <v>189</v>
      </c>
      <c r="C17" s="30"/>
      <c r="D17" s="30">
        <v>245.52632141113281</v>
      </c>
      <c r="E17" s="30">
        <v>214.86956787109375</v>
      </c>
      <c r="F17" s="30">
        <v>243.8148193359375</v>
      </c>
      <c r="G17" s="30">
        <v>248.27999877929688</v>
      </c>
      <c r="H17" s="30">
        <v>239.39131164550781</v>
      </c>
      <c r="I17" s="30">
        <v>221.58332824707031</v>
      </c>
      <c r="J17" s="30">
        <v>233.39131164550781</v>
      </c>
      <c r="K17" s="30">
        <v>227.5</v>
      </c>
      <c r="L17" s="30">
        <v>219.67999267578125</v>
      </c>
      <c r="M17" s="30">
        <v>224.40908813476563</v>
      </c>
      <c r="N17" s="30">
        <v>198.80000305175781</v>
      </c>
      <c r="O17" s="28">
        <f t="shared" si="0"/>
        <v>-0.19031083140423047</v>
      </c>
      <c r="P17" s="28">
        <f t="shared" si="1"/>
        <v>-0.14821163799914655</v>
      </c>
    </row>
    <row r="18" spans="1:16" ht="18" customHeight="1">
      <c r="A18" s="174"/>
      <c r="B18" s="35" t="s">
        <v>194</v>
      </c>
      <c r="C18" s="30"/>
      <c r="D18" s="30">
        <v>22.684209823608398</v>
      </c>
      <c r="E18" s="30">
        <v>23.565217971801758</v>
      </c>
      <c r="F18" s="30">
        <v>22.814815521240234</v>
      </c>
      <c r="G18" s="30">
        <v>24.159999847412109</v>
      </c>
      <c r="H18" s="30">
        <v>23.65217399597168</v>
      </c>
      <c r="I18" s="30">
        <v>25.291666030883789</v>
      </c>
      <c r="J18" s="30">
        <v>26.65217399597168</v>
      </c>
      <c r="K18" s="30">
        <v>28.272727966308594</v>
      </c>
      <c r="L18" s="30">
        <v>26.440000534057617</v>
      </c>
      <c r="M18" s="30">
        <v>26.590909957885742</v>
      </c>
      <c r="N18" s="30">
        <v>25.600000381469727</v>
      </c>
      <c r="O18" s="28">
        <f t="shared" si="0"/>
        <v>0.12853833483883331</v>
      </c>
      <c r="P18" s="28">
        <f t="shared" si="1"/>
        <v>-3.9477965837270271E-2</v>
      </c>
    </row>
    <row r="19" spans="1:16" ht="18" customHeight="1">
      <c r="A19" s="174"/>
      <c r="B19" s="35" t="s">
        <v>195</v>
      </c>
      <c r="C19" s="36"/>
      <c r="D19" s="36">
        <v>0.74324393272399902</v>
      </c>
      <c r="E19" s="36">
        <v>0.83082807064056396</v>
      </c>
      <c r="F19" s="36">
        <v>0.93495970964431763</v>
      </c>
      <c r="G19" s="36">
        <v>0.949596107006073</v>
      </c>
      <c r="H19" s="36">
        <v>0.92279148101806641</v>
      </c>
      <c r="I19" s="36">
        <v>0.98504197597503662</v>
      </c>
      <c r="J19" s="36">
        <v>0.89615887403488159</v>
      </c>
      <c r="K19" s="36">
        <v>0.91077578067779541</v>
      </c>
      <c r="L19" s="36">
        <v>0.8284565806388855</v>
      </c>
      <c r="M19" s="36">
        <v>0.92983120679855347</v>
      </c>
      <c r="N19" s="36">
        <v>0.85010993480682373</v>
      </c>
      <c r="O19" s="28">
        <f t="shared" si="0"/>
        <v>0.14378321487423298</v>
      </c>
      <c r="P19" s="28">
        <f t="shared" si="1"/>
        <v>-5.1384794105453983E-2</v>
      </c>
    </row>
    <row r="20" spans="1:16" ht="18" customHeight="1">
      <c r="A20" s="175"/>
      <c r="B20" s="37" t="s">
        <v>196</v>
      </c>
      <c r="C20" s="38"/>
      <c r="D20" s="38">
        <f ca="1">3508*OFFSET(D$112,MATCH($N$1,$C$112:$C$113,0)-1,0)</f>
        <v>3508</v>
      </c>
      <c r="E20" s="38">
        <f ca="1">3812*OFFSET(E$112,MATCH($N$1,$C$112:$C$113,0)-1,0)</f>
        <v>3812</v>
      </c>
      <c r="F20" s="38">
        <f ca="1">3073*OFFSET(F$112,MATCH($N$1,$C$112:$C$113,0)-1,0)</f>
        <v>3073</v>
      </c>
      <c r="G20" s="38">
        <f ca="1">2960*OFFSET(G$112,MATCH($N$1,$C$112:$C$113,0)-1,0)</f>
        <v>2960</v>
      </c>
      <c r="H20" s="38">
        <f ca="1">3060*OFFSET(H$112,MATCH($N$1,$C$112:$C$113,0)-1,0)</f>
        <v>3060</v>
      </c>
      <c r="I20" s="38">
        <f ca="1">2828*OFFSET(I$112,MATCH($N$1,$C$112:$C$113,0)-1,0)</f>
        <v>2828</v>
      </c>
      <c r="J20" s="38">
        <f ca="1">3509*OFFSET(J$112,MATCH($N$1,$C$112:$C$113,0)-1,0)</f>
        <v>3509</v>
      </c>
      <c r="K20" s="38">
        <f ca="1">3966*OFFSET(K$112,MATCH($N$1,$C$112:$C$113,0)-1,0)</f>
        <v>3966</v>
      </c>
      <c r="L20" s="38">
        <f ca="1">3910*OFFSET(L$112,MATCH($N$1,$C$112:$C$113,0)-1,0)</f>
        <v>3910</v>
      </c>
      <c r="M20" s="38">
        <f ca="1">3559*OFFSET(M$112,MATCH($N$1,$C$112:$C$113,0)-1,0)</f>
        <v>3559</v>
      </c>
      <c r="N20" s="38">
        <v>3268</v>
      </c>
      <c r="O20" s="32">
        <f t="shared" ca="1" si="0"/>
        <v>-6.8415051311288486E-2</v>
      </c>
      <c r="P20" s="32">
        <f t="shared" ca="1" si="1"/>
        <v>-6.8680535765175257E-2</v>
      </c>
    </row>
    <row r="21" spans="1:16" ht="18" customHeight="1">
      <c r="A21" s="176" t="s">
        <v>197</v>
      </c>
      <c r="B21" s="33" t="s">
        <v>198</v>
      </c>
      <c r="C21" s="39"/>
      <c r="D21" s="39">
        <v>3.4531818948969173</v>
      </c>
      <c r="E21" s="39">
        <v>3.8085538478773047</v>
      </c>
      <c r="F21" s="39">
        <v>4.2919013629767271</v>
      </c>
      <c r="G21" s="39">
        <v>4.3468476751187071</v>
      </c>
      <c r="H21" s="39">
        <v>4.2099381255955901</v>
      </c>
      <c r="I21" s="39">
        <v>4.4918609369670488</v>
      </c>
      <c r="J21" s="39">
        <v>4.0842536957200126</v>
      </c>
      <c r="K21" s="39">
        <v>4.1454052787084903</v>
      </c>
      <c r="L21" s="39">
        <v>3.7922992737046153</v>
      </c>
      <c r="M21" s="39">
        <v>4.2545362521853063</v>
      </c>
      <c r="N21" s="39">
        <v>3.8737302277546348</v>
      </c>
      <c r="O21" s="28">
        <f t="shared" si="0"/>
        <v>0.12178574591717867</v>
      </c>
      <c r="P21" s="28">
        <f t="shared" si="1"/>
        <v>-5.1545149652674704E-2</v>
      </c>
    </row>
    <row r="22" spans="1:16" ht="18" customHeight="1">
      <c r="A22" s="176"/>
      <c r="B22" s="35" t="s">
        <v>199</v>
      </c>
      <c r="C22" s="36"/>
      <c r="D22" s="36">
        <f ca="1">12.112203052088*OFFSET(D$112,MATCH($N$1,$C$112:$C$113,0)-1,0)</f>
        <v>12.112203052088001</v>
      </c>
      <c r="E22" s="36">
        <f ca="1">14.5182304342895*OFFSET(E$112,MATCH($N$1,$C$112:$C$113,0)-1,0)</f>
        <v>14.518230434289499</v>
      </c>
      <c r="F22" s="36">
        <f ca="1">13.1903845876636*OFFSET(F$112,MATCH($N$1,$C$112:$C$113,0)-1,0)</f>
        <v>13.190384587663599</v>
      </c>
      <c r="G22" s="36">
        <f ca="1">12.8675951979869*OFFSET(G$112,MATCH($N$1,$C$112:$C$113,0)-1,0)</f>
        <v>12.867595197986899</v>
      </c>
      <c r="H22" s="36">
        <f ca="1">12.882424226904*OFFSET(H$112,MATCH($N$1,$C$112:$C$113,0)-1,0)</f>
        <v>12.882424226904</v>
      </c>
      <c r="I22" s="36">
        <f ca="1">12.7038276956934*OFFSET(I$112,MATCH($N$1,$C$112:$C$113,0)-1,0)</f>
        <v>12.7038276956934</v>
      </c>
      <c r="J22" s="36">
        <f ca="1">14.3303651527972*OFFSET(J$112,MATCH($N$1,$C$112:$C$113,0)-1,0)</f>
        <v>14.330365152797199</v>
      </c>
      <c r="K22" s="36">
        <f ca="1">16.4394383042561*OFFSET(K$112,MATCH($N$1,$C$112:$C$113,0)-1,0)</f>
        <v>16.4394383042561</v>
      </c>
      <c r="L22" s="36">
        <f ca="1">14.8280661113569*OFFSET(L$112,MATCH($N$1,$C$112:$C$113,0)-1,0)</f>
        <v>14.8280661113569</v>
      </c>
      <c r="M22" s="36">
        <f ca="1">15.1413284270974*OFFSET(M$112,MATCH($N$1,$C$112:$C$113,0)-1,0)</f>
        <v>15.141328427097401</v>
      </c>
      <c r="N22" s="36">
        <v>12.659089171277623</v>
      </c>
      <c r="O22" s="28">
        <f t="shared" ca="1" si="0"/>
        <v>4.5151663726058958E-2</v>
      </c>
      <c r="P22" s="28">
        <f t="shared" ca="1" si="1"/>
        <v>-0.11662480081279392</v>
      </c>
    </row>
    <row r="23" spans="1:16" ht="18" customHeight="1">
      <c r="A23" s="176"/>
      <c r="B23" s="35" t="s">
        <v>154</v>
      </c>
      <c r="C23" s="36"/>
      <c r="D23" s="36">
        <f ca="1">11.6820246275846*OFFSET(D$112,MATCH($N$1,$C$112:$C$113,0)-1,0)</f>
        <v>11.6820246275846</v>
      </c>
      <c r="E23" s="36">
        <f ca="1">13.9657485764915*OFFSET(E$112,MATCH($N$1,$C$112:$C$113,0)-1,0)</f>
        <v>13.965748576491499</v>
      </c>
      <c r="F23" s="36">
        <f ca="1">11.8648340104923*OFFSET(F$112,MATCH($N$1,$C$112:$C$113,0)-1,0)</f>
        <v>11.8648340104923</v>
      </c>
      <c r="G23" s="36">
        <f ca="1">12.1169576849423*OFFSET(G$112,MATCH($N$1,$C$112:$C$113,0)-1,0)</f>
        <v>12.1169576849423</v>
      </c>
      <c r="H23" s="36">
        <f ca="1">12.6193430868037*OFFSET(H$112,MATCH($N$1,$C$112:$C$113,0)-1,0)</f>
        <v>12.619343086803701</v>
      </c>
      <c r="I23" s="36">
        <f ca="1">11.618477177633*OFFSET(I$112,MATCH($N$1,$C$112:$C$113,0)-1,0)</f>
        <v>11.618477177633</v>
      </c>
      <c r="J23" s="36">
        <f ca="1">10.8811010244453*OFFSET(J$112,MATCH($N$1,$C$112:$C$113,0)-1,0)</f>
        <v>10.8811010244453</v>
      </c>
      <c r="K23" s="36">
        <f ca="1">12.644566367047*OFFSET(K$112,MATCH($N$1,$C$112:$C$113,0)-1,0)</f>
        <v>12.644566367047</v>
      </c>
      <c r="L23" s="36">
        <f ca="1">12.7211475638011*OFFSET(L$112,MATCH($N$1,$C$112:$C$113,0)-1,0)</f>
        <v>12.7211475638011</v>
      </c>
      <c r="M23" s="36">
        <f ca="1">11.629219552067*OFFSET(M$112,MATCH($N$1,$C$112:$C$113,0)-1,0)</f>
        <v>11.629219552066999</v>
      </c>
      <c r="N23" s="36">
        <v>10.088642880639673</v>
      </c>
      <c r="O23" s="28">
        <f t="shared" ca="1" si="0"/>
        <v>-0.13639602703648618</v>
      </c>
      <c r="P23" s="28">
        <f t="shared" ca="1" si="1"/>
        <v>-7.2828856383678781E-2</v>
      </c>
    </row>
    <row r="24" spans="1:16" ht="18" customHeight="1">
      <c r="A24" s="176"/>
      <c r="B24" s="35" t="s">
        <v>155</v>
      </c>
      <c r="C24" s="36"/>
      <c r="D24" s="36">
        <f ca="1">0.476375445365044*OFFSET(D$112,MATCH($N$1,$C$112:$C$113,0)-1,0)</f>
        <v>0.476375445365044</v>
      </c>
      <c r="E24" s="36">
        <f ca="1">0.561214907825501*OFFSET(E$112,MATCH($N$1,$C$112:$C$113,0)-1,0)</f>
        <v>0.56121490782550099</v>
      </c>
      <c r="F24" s="36">
        <f ca="1">1.89426097101979*OFFSET(F$112,MATCH($N$1,$C$112:$C$113,0)-1,0)</f>
        <v>1.89426097101979</v>
      </c>
      <c r="G24" s="36">
        <f ca="1">0.82396447679908*OFFSET(G$112,MATCH($N$1,$C$112:$C$113,0)-1,0)</f>
        <v>0.82396447679908003</v>
      </c>
      <c r="H24" s="36">
        <f ca="1">0.702441782048952*OFFSET(H$112,MATCH($N$1,$C$112:$C$113,0)-1,0)</f>
        <v>0.70244178204895202</v>
      </c>
      <c r="I24" s="36">
        <f ca="1">1.84650823625538*OFFSET(I$112,MATCH($N$1,$C$112:$C$113,0)-1,0)</f>
        <v>1.84650823625538</v>
      </c>
      <c r="J24" s="36">
        <f ca="1">3.44926412835196*OFFSET(J$112,MATCH($N$1,$C$112:$C$113,0)-1,0)</f>
        <v>3.4492641283519601</v>
      </c>
      <c r="K24" s="36">
        <f ca="1">3.79493696072439*OFFSET(K$112,MATCH($N$1,$C$112:$C$113,0)-1,0)</f>
        <v>3.7949369607243901</v>
      </c>
      <c r="L24" s="36">
        <f ca="1">2.29924053579648*OFFSET(L$112,MATCH($N$1,$C$112:$C$113,0)-1,0)</f>
        <v>2.2992405357964798</v>
      </c>
      <c r="M24" s="36">
        <f ca="1">3.5841738846477*OFFSET(M$112,MATCH($N$1,$C$112:$C$113,0)-1,0)</f>
        <v>3.5841738846476998</v>
      </c>
      <c r="N24" s="36">
        <v>2.8324039193151282</v>
      </c>
      <c r="O24" s="28">
        <f t="shared" ca="1" si="0"/>
        <v>4.9457386959663125</v>
      </c>
      <c r="P24" s="28">
        <f t="shared" ca="1" si="1"/>
        <v>-0.1788382060876168</v>
      </c>
    </row>
    <row r="25" spans="1:16" ht="18" customHeight="1">
      <c r="A25" s="176"/>
      <c r="B25" s="35" t="s">
        <v>200</v>
      </c>
      <c r="C25" s="31"/>
      <c r="D25" s="31">
        <f ca="1">77.26*OFFSET(D$112,MATCH($N$1,$C$112:$C$113,0)-1,0)</f>
        <v>77.260000000000005</v>
      </c>
      <c r="E25" s="31">
        <f ca="1">99.34*OFFSET(E$112,MATCH($N$1,$C$112:$C$113,0)-1,0)</f>
        <v>99.34</v>
      </c>
      <c r="F25" s="31">
        <f ca="1">79.63*OFFSET(F$112,MATCH($N$1,$C$112:$C$113,0)-1,0)</f>
        <v>79.63</v>
      </c>
      <c r="G25" s="31">
        <f ca="1">79.81*OFFSET(G$112,MATCH($N$1,$C$112:$C$113,0)-1,0)</f>
        <v>79.81</v>
      </c>
      <c r="H25" s="31">
        <f ca="1">103.5*OFFSET(H$112,MATCH($N$1,$C$112:$C$113,0)-1,0)</f>
        <v>103.5</v>
      </c>
      <c r="I25" s="31">
        <f ca="1">97.33*OFFSET(I$112,MATCH($N$1,$C$112:$C$113,0)-1,0)</f>
        <v>97.33</v>
      </c>
      <c r="J25" s="31">
        <f ca="1">152.1*OFFSET(J$112,MATCH($N$1,$C$112:$C$113,0)-1,0)</f>
        <v>152.1</v>
      </c>
      <c r="K25" s="31">
        <f ca="1">105.57*OFFSET(K$112,MATCH($N$1,$C$112:$C$113,0)-1,0)</f>
        <v>105.57</v>
      </c>
      <c r="L25" s="31">
        <f ca="1">118*OFFSET(L$112,MATCH($N$1,$C$112:$C$113,0)-1,0)</f>
        <v>118</v>
      </c>
      <c r="M25" s="31">
        <f ca="1">103.9*OFFSET(M$112,MATCH($N$1,$C$112:$C$113,0)-1,0)</f>
        <v>103.9</v>
      </c>
      <c r="N25" s="31">
        <v>89.23</v>
      </c>
      <c r="O25" s="28">
        <f t="shared" ca="1" si="0"/>
        <v>0.15493140046595907</v>
      </c>
      <c r="P25" s="28">
        <f t="shared" ca="1" si="1"/>
        <v>-0.41334648257725176</v>
      </c>
    </row>
    <row r="26" spans="1:16" ht="18" customHeight="1">
      <c r="A26" s="177"/>
      <c r="B26" s="35" t="s">
        <v>201</v>
      </c>
      <c r="C26" s="31"/>
      <c r="D26" s="31">
        <f ca="1">3.04*OFFSET(D$112,MATCH($N$1,$C$112:$C$113,0)-1,0)</f>
        <v>3.04</v>
      </c>
      <c r="E26" s="31">
        <f ca="1">3.84*OFFSET(E$112,MATCH($N$1,$C$112:$C$113,0)-1,0)</f>
        <v>3.84</v>
      </c>
      <c r="F26" s="31">
        <f ca="1">11.43*OFFSET(F$112,MATCH($N$1,$C$112:$C$113,0)-1,0)</f>
        <v>11.43</v>
      </c>
      <c r="G26" s="31">
        <f ca="1">5.11*OFFSET(G$112,MATCH($N$1,$C$112:$C$113,0)-1,0)</f>
        <v>5.1100000000000003</v>
      </c>
      <c r="H26" s="31">
        <f ca="1">5.65*OFFSET(H$112,MATCH($N$1,$C$112:$C$113,0)-1,0)</f>
        <v>5.65</v>
      </c>
      <c r="I26" s="31">
        <f ca="1">14.14*OFFSET(I$112,MATCH($N$1,$C$112:$C$113,0)-1,0)</f>
        <v>14.14</v>
      </c>
      <c r="J26" s="31">
        <f ca="1">36.6*OFFSET(J$112,MATCH($N$1,$C$112:$C$113,0)-1,0)</f>
        <v>36.6</v>
      </c>
      <c r="K26" s="31">
        <f ca="1">24.37*OFFSET(K$112,MATCH($N$1,$C$112:$C$113,0)-1,0)</f>
        <v>24.37</v>
      </c>
      <c r="L26" s="31">
        <f ca="1">18.29*OFFSET(L$112,MATCH($N$1,$C$112:$C$113,0)-1,0)</f>
        <v>18.29</v>
      </c>
      <c r="M26" s="31">
        <f ca="1">24.6*OFFSET(M$112,MATCH($N$1,$C$112:$C$113,0)-1,0)</f>
        <v>24.6</v>
      </c>
      <c r="N26" s="31">
        <v>19.97</v>
      </c>
      <c r="O26" s="32">
        <f t="shared" ca="1" si="0"/>
        <v>5.5690789473684212</v>
      </c>
      <c r="P26" s="32">
        <f t="shared" ca="1" si="1"/>
        <v>-0.4543715846994536</v>
      </c>
    </row>
    <row r="27" spans="1:16" ht="18" customHeight="1">
      <c r="A27" s="166" t="s">
        <v>202</v>
      </c>
      <c r="B27" s="33" t="s">
        <v>193</v>
      </c>
      <c r="C27" s="34"/>
      <c r="D27" s="34">
        <f ca="1">640.1*OFFSET(D$112,MATCH($N$1,$C$112:$C$113,0)-1,0)</f>
        <v>640.1</v>
      </c>
      <c r="E27" s="34">
        <f ca="1">680.5*OFFSET(E$112,MATCH($N$1,$C$112:$C$113,0)-1,0)</f>
        <v>680.5</v>
      </c>
      <c r="F27" s="34">
        <f ca="1">700.6*OFFSET(F$112,MATCH($N$1,$C$112:$C$113,0)-1,0)</f>
        <v>700.6</v>
      </c>
      <c r="G27" s="34">
        <f ca="1">697.9*OFFSET(G$112,MATCH($N$1,$C$112:$C$113,0)-1,0)</f>
        <v>697.9</v>
      </c>
      <c r="H27" s="34">
        <f ca="1">676*OFFSET(H$112,MATCH($N$1,$C$112:$C$113,0)-1,0)</f>
        <v>676</v>
      </c>
      <c r="I27" s="34">
        <f ca="1">617.3*OFFSET(I$112,MATCH($N$1,$C$112:$C$113,0)-1,0)</f>
        <v>617.29999999999995</v>
      </c>
      <c r="J27" s="34">
        <f ca="1">733.9*OFFSET(J$112,MATCH($N$1,$C$112:$C$113,0)-1,0)</f>
        <v>733.9</v>
      </c>
      <c r="K27" s="34">
        <f ca="1">821.7*OFFSET(K$112,MATCH($N$1,$C$112:$C$113,0)-1,0)</f>
        <v>821.7</v>
      </c>
      <c r="L27" s="34">
        <f ca="1">711.6*OFFSET(L$112,MATCH($N$1,$C$112:$C$113,0)-1,0)</f>
        <v>711.6</v>
      </c>
      <c r="M27" s="34">
        <f ca="1">742.6*OFFSET(M$112,MATCH($N$1,$C$112:$C$113,0)-1,0)</f>
        <v>742.6</v>
      </c>
      <c r="N27" s="34">
        <v>552.30000000000007</v>
      </c>
      <c r="O27" s="28">
        <f t="shared" ca="1" si="0"/>
        <v>-0.13716606780190588</v>
      </c>
      <c r="P27" s="28">
        <f t="shared" ca="1" si="1"/>
        <v>-0.24744515601580586</v>
      </c>
    </row>
    <row r="28" spans="1:16" ht="18" customHeight="1">
      <c r="A28" s="178"/>
      <c r="B28" s="35" t="s">
        <v>203</v>
      </c>
      <c r="C28" s="31"/>
      <c r="D28" s="31">
        <f ca="1">2.4*OFFSET(D$112,MATCH($N$1,$C$112:$C$113,0)-1,0)</f>
        <v>2.4</v>
      </c>
      <c r="E28" s="31">
        <f ca="1">0.4*OFFSET(E$112,MATCH($N$1,$C$112:$C$113,0)-1,0)</f>
        <v>0.4</v>
      </c>
      <c r="F28" s="31">
        <f ca="1">30.2*OFFSET(F$112,MATCH($N$1,$C$112:$C$113,0)-1,0)</f>
        <v>30.2</v>
      </c>
      <c r="G28" s="31">
        <f ca="1">4*OFFSET(G$112,MATCH($N$1,$C$112:$C$113,0)-1,0)</f>
        <v>4</v>
      </c>
      <c r="H28" s="31">
        <f ca="1">23.1*OFFSET(H$112,MATCH($N$1,$C$112:$C$113,0)-1,0)</f>
        <v>23.1</v>
      </c>
      <c r="I28" s="31">
        <f ca="1">37*OFFSET(I$112,MATCH($N$1,$C$112:$C$113,0)-1,0)</f>
        <v>37</v>
      </c>
      <c r="J28" s="31"/>
      <c r="K28" s="31"/>
      <c r="L28" s="31">
        <f ca="1">9.2*OFFSET(L$112,MATCH($N$1,$C$112:$C$113,0)-1,0)</f>
        <v>9.1999999999999993</v>
      </c>
      <c r="M28" s="31">
        <f ca="1">3.5*OFFSET(M$112,MATCH($N$1,$C$112:$C$113,0)-1,0)</f>
        <v>3.5</v>
      </c>
      <c r="N28" s="31">
        <v>11.4</v>
      </c>
      <c r="O28" s="28">
        <f t="shared" ca="1" si="0"/>
        <v>3.75</v>
      </c>
      <c r="P28" s="28" t="str">
        <f t="shared" si="1"/>
        <v/>
      </c>
    </row>
    <row r="29" spans="1:16" ht="18" customHeight="1">
      <c r="A29" s="178"/>
      <c r="B29" s="40" t="s">
        <v>204</v>
      </c>
      <c r="C29" s="41"/>
      <c r="D29" s="41">
        <f ca="1">642.5*OFFSET(D$112,MATCH($N$1,$C$112:$C$113,0)-1,0)</f>
        <v>642.5</v>
      </c>
      <c r="E29" s="41">
        <f ca="1">680.9*OFFSET(E$112,MATCH($N$1,$C$112:$C$113,0)-1,0)</f>
        <v>680.9</v>
      </c>
      <c r="F29" s="41">
        <f ca="1">730.8*OFFSET(F$112,MATCH($N$1,$C$112:$C$113,0)-1,0)</f>
        <v>730.8</v>
      </c>
      <c r="G29" s="41">
        <f ca="1">701.9*OFFSET(G$112,MATCH($N$1,$C$112:$C$113,0)-1,0)</f>
        <v>701.9</v>
      </c>
      <c r="H29" s="41">
        <f ca="1">699*OFFSET(H$112,MATCH($N$1,$C$112:$C$113,0)-1,0)</f>
        <v>699</v>
      </c>
      <c r="I29" s="41">
        <f ca="1">654.3*OFFSET(I$112,MATCH($N$1,$C$112:$C$113,0)-1,0)</f>
        <v>654.29999999999995</v>
      </c>
      <c r="J29" s="41">
        <f ca="1">733.9*OFFSET(J$112,MATCH($N$1,$C$112:$C$113,0)-1,0)</f>
        <v>733.9</v>
      </c>
      <c r="K29" s="41">
        <f ca="1">821.7*OFFSET(K$112,MATCH($N$1,$C$112:$C$113,0)-1,0)</f>
        <v>821.7</v>
      </c>
      <c r="L29" s="41">
        <f ca="1">720.8*OFFSET(L$112,MATCH($N$1,$C$112:$C$113,0)-1,0)</f>
        <v>720.8</v>
      </c>
      <c r="M29" s="41">
        <f ca="1">746.1*OFFSET(M$112,MATCH($N$1,$C$112:$C$113,0)-1,0)</f>
        <v>746.1</v>
      </c>
      <c r="N29" s="41">
        <v>563.70000000000005</v>
      </c>
      <c r="O29" s="28">
        <f t="shared" ca="1" si="0"/>
        <v>-0.12264591439688709</v>
      </c>
      <c r="P29" s="28">
        <f t="shared" ca="1" si="1"/>
        <v>-0.23191170459190616</v>
      </c>
    </row>
    <row r="30" spans="1:16" ht="18" customHeight="1">
      <c r="A30" s="178"/>
      <c r="B30" s="35" t="s">
        <v>205</v>
      </c>
      <c r="C30" s="31"/>
      <c r="D30" s="31">
        <f ca="1">139*OFFSET(D$112,MATCH($N$1,$C$112:$C$113,0)-1,0)</f>
        <v>139</v>
      </c>
      <c r="E30" s="31">
        <f ca="1">162.5*OFFSET(E$112,MATCH($N$1,$C$112:$C$113,0)-1,0)</f>
        <v>162.5</v>
      </c>
      <c r="F30" s="31">
        <f ca="1">183.5*OFFSET(F$112,MATCH($N$1,$C$112:$C$113,0)-1,0)</f>
        <v>183.5</v>
      </c>
      <c r="G30" s="31">
        <f ca="1">182.9*OFFSET(G$112,MATCH($N$1,$C$112:$C$113,0)-1,0)</f>
        <v>182.9</v>
      </c>
      <c r="H30" s="31">
        <f ca="1">162.9*OFFSET(H$112,MATCH($N$1,$C$112:$C$113,0)-1,0)</f>
        <v>162.9</v>
      </c>
      <c r="I30" s="31">
        <f ca="1">103.1*OFFSET(I$112,MATCH($N$1,$C$112:$C$113,0)-1,0)</f>
        <v>103.1</v>
      </c>
      <c r="J30" s="31">
        <f ca="1">100.3*OFFSET(J$112,MATCH($N$1,$C$112:$C$113,0)-1,0)</f>
        <v>100.3</v>
      </c>
      <c r="K30" s="31">
        <f ca="1">121.8*OFFSET(K$112,MATCH($N$1,$C$112:$C$113,0)-1,0)</f>
        <v>121.8</v>
      </c>
      <c r="L30" s="31">
        <f ca="1">131*OFFSET(L$112,MATCH($N$1,$C$112:$C$113,0)-1,0)</f>
        <v>131</v>
      </c>
      <c r="M30" s="31">
        <f ca="1">132.1*OFFSET(M$112,MATCH($N$1,$C$112:$C$113,0)-1,0)</f>
        <v>132.1</v>
      </c>
      <c r="N30" s="31">
        <v>86.4</v>
      </c>
      <c r="O30" s="28">
        <f t="shared" ca="1" si="0"/>
        <v>-0.37841726618705029</v>
      </c>
      <c r="P30" s="28">
        <f t="shared" ca="1" si="1"/>
        <v>-0.13858424725822524</v>
      </c>
    </row>
    <row r="31" spans="1:16" ht="18" customHeight="1">
      <c r="A31" s="178"/>
      <c r="B31" s="35" t="s">
        <v>206</v>
      </c>
      <c r="C31" s="31"/>
      <c r="D31" s="31">
        <f ca="1">167.2*OFFSET(D$112,MATCH($N$1,$C$112:$C$113,0)-1,0)</f>
        <v>167.2</v>
      </c>
      <c r="E31" s="31">
        <f ca="1">181.6*OFFSET(E$112,MATCH($N$1,$C$112:$C$113,0)-1,0)</f>
        <v>181.6</v>
      </c>
      <c r="F31" s="31">
        <f ca="1">176.2*OFFSET(F$112,MATCH($N$1,$C$112:$C$113,0)-1,0)</f>
        <v>176.2</v>
      </c>
      <c r="G31" s="31">
        <f ca="1">171*OFFSET(G$112,MATCH($N$1,$C$112:$C$113,0)-1,0)</f>
        <v>171</v>
      </c>
      <c r="H31" s="31">
        <f ca="1">181.7*OFFSET(H$112,MATCH($N$1,$C$112:$C$113,0)-1,0)</f>
        <v>181.7</v>
      </c>
      <c r="I31" s="31">
        <f ca="1">181.5*OFFSET(I$112,MATCH($N$1,$C$112:$C$113,0)-1,0)</f>
        <v>181.5</v>
      </c>
      <c r="J31" s="31">
        <f ca="1">201.2*OFFSET(J$112,MATCH($N$1,$C$112:$C$113,0)-1,0)</f>
        <v>201.2</v>
      </c>
      <c r="K31" s="31">
        <f ca="1">220.2*OFFSET(K$112,MATCH($N$1,$C$112:$C$113,0)-1,0)</f>
        <v>220.2</v>
      </c>
      <c r="L31" s="31">
        <f ca="1">189.5*OFFSET(L$112,MATCH($N$1,$C$112:$C$113,0)-1,0)</f>
        <v>189.5</v>
      </c>
      <c r="M31" s="31">
        <f ca="1">198.3*OFFSET(M$112,MATCH($N$1,$C$112:$C$113,0)-1,0)</f>
        <v>198.3</v>
      </c>
      <c r="N31" s="31">
        <v>152.30000000000001</v>
      </c>
      <c r="O31" s="28">
        <f t="shared" ca="1" si="0"/>
        <v>-8.9114832535885036E-2</v>
      </c>
      <c r="P31" s="28">
        <f t="shared" ca="1" si="1"/>
        <v>-0.24304174950298202</v>
      </c>
    </row>
    <row r="32" spans="1:16" ht="18" customHeight="1">
      <c r="A32" s="178"/>
      <c r="B32" s="35" t="s">
        <v>207</v>
      </c>
      <c r="C32" s="31"/>
      <c r="D32" s="31">
        <f ca="1">183.4*OFFSET(D$112,MATCH($N$1,$C$112:$C$113,0)-1,0)</f>
        <v>183.4</v>
      </c>
      <c r="E32" s="31">
        <f ca="1">188.7*OFFSET(E$112,MATCH($N$1,$C$112:$C$113,0)-1,0)</f>
        <v>188.7</v>
      </c>
      <c r="F32" s="31">
        <f ca="1">135.8*OFFSET(F$112,MATCH($N$1,$C$112:$C$113,0)-1,0)</f>
        <v>135.80000000000001</v>
      </c>
      <c r="G32" s="31">
        <f ca="1">179.3*OFFSET(G$112,MATCH($N$1,$C$112:$C$113,0)-1,0)</f>
        <v>179.3</v>
      </c>
      <c r="H32" s="31">
        <f ca="1">193.8*OFFSET(H$112,MATCH($N$1,$C$112:$C$113,0)-1,0)</f>
        <v>193.8</v>
      </c>
      <c r="I32" s="31">
        <f ca="1">166.8*OFFSET(I$112,MATCH($N$1,$C$112:$C$113,0)-1,0)</f>
        <v>166.8</v>
      </c>
      <c r="J32" s="31">
        <f ca="1">111.6*OFFSET(J$112,MATCH($N$1,$C$112:$C$113,0)-1,0)</f>
        <v>111.6</v>
      </c>
      <c r="K32" s="31">
        <f ca="1">142.2*OFFSET(K$112,MATCH($N$1,$C$112:$C$113,0)-1,0)</f>
        <v>142.19999999999999</v>
      </c>
      <c r="L32" s="31">
        <f ca="1">138.5*OFFSET(L$112,MATCH($N$1,$C$112:$C$113,0)-1,0)</f>
        <v>138.5</v>
      </c>
      <c r="M32" s="31">
        <f ca="1">118.9*OFFSET(M$112,MATCH($N$1,$C$112:$C$113,0)-1,0)</f>
        <v>118.9</v>
      </c>
      <c r="N32" s="31">
        <v>88.4</v>
      </c>
      <c r="O32" s="28">
        <f t="shared" ca="1" si="0"/>
        <v>-0.51799345692475462</v>
      </c>
      <c r="P32" s="28">
        <f t="shared" ca="1" si="1"/>
        <v>-0.20788530465949812</v>
      </c>
    </row>
    <row r="33" spans="1:16" ht="18" customHeight="1">
      <c r="A33" s="178"/>
      <c r="B33" s="35" t="s">
        <v>208</v>
      </c>
      <c r="C33" s="31"/>
      <c r="D33" s="31">
        <f ca="1">489.6*OFFSET(D$112,MATCH($N$1,$C$112:$C$113,0)-1,0)</f>
        <v>489.6</v>
      </c>
      <c r="E33" s="31">
        <f ca="1">532.7*OFFSET(E$112,MATCH($N$1,$C$112:$C$113,0)-1,0)</f>
        <v>532.70000000000005</v>
      </c>
      <c r="F33" s="31">
        <f ca="1">495.6*OFFSET(F$112,MATCH($N$1,$C$112:$C$113,0)-1,0)</f>
        <v>495.6</v>
      </c>
      <c r="G33" s="31">
        <f ca="1">533.3*OFFSET(G$112,MATCH($N$1,$C$112:$C$113,0)-1,0)</f>
        <v>533.29999999999995</v>
      </c>
      <c r="H33" s="31">
        <f ca="1">538.5*OFFSET(H$112,MATCH($N$1,$C$112:$C$113,0)-1,0)</f>
        <v>538.5</v>
      </c>
      <c r="I33" s="31">
        <f ca="1">451.4*OFFSET(I$112,MATCH($N$1,$C$112:$C$113,0)-1,0)</f>
        <v>451.4</v>
      </c>
      <c r="J33" s="31">
        <f ca="1">413.2*OFFSET(J$112,MATCH($N$1,$C$112:$C$113,0)-1,0)</f>
        <v>413.2</v>
      </c>
      <c r="K33" s="31">
        <f ca="1">484.2*OFFSET(K$112,MATCH($N$1,$C$112:$C$113,0)-1,0)</f>
        <v>484.2</v>
      </c>
      <c r="L33" s="31">
        <f ca="1">459*OFFSET(L$112,MATCH($N$1,$C$112:$C$113,0)-1,0)</f>
        <v>459</v>
      </c>
      <c r="M33" s="31">
        <f ca="1">449.3*OFFSET(M$112,MATCH($N$1,$C$112:$C$113,0)-1,0)</f>
        <v>449.3</v>
      </c>
      <c r="N33" s="31">
        <v>327.10000000000002</v>
      </c>
      <c r="O33" s="28">
        <f t="shared" ca="1" si="0"/>
        <v>-0.33190359477124182</v>
      </c>
      <c r="P33" s="28">
        <f t="shared" ca="1" si="1"/>
        <v>-0.20837366892545975</v>
      </c>
    </row>
    <row r="34" spans="1:16" ht="18" customHeight="1">
      <c r="A34" s="178"/>
      <c r="B34" s="35" t="s">
        <v>209</v>
      </c>
      <c r="C34" s="31"/>
      <c r="D34" s="31">
        <f ca="1">127.7*OFFSET(D$112,MATCH($N$1,$C$112:$C$113,0)-1,0)</f>
        <v>127.7</v>
      </c>
      <c r="E34" s="31">
        <f ca="1">121.9*OFFSET(E$112,MATCH($N$1,$C$112:$C$113,0)-1,0)</f>
        <v>121.9</v>
      </c>
      <c r="F34" s="31">
        <f ca="1">134.6*OFFSET(F$112,MATCH($N$1,$C$112:$C$113,0)-1,0)</f>
        <v>134.6</v>
      </c>
      <c r="G34" s="31">
        <f ca="1">123.9*OFFSET(G$112,MATCH($N$1,$C$112:$C$113,0)-1,0)</f>
        <v>123.9</v>
      </c>
      <c r="H34" s="31">
        <f ca="1">123.7*OFFSET(H$112,MATCH($N$1,$C$112:$C$113,0)-1,0)</f>
        <v>123.7</v>
      </c>
      <c r="I34" s="31">
        <f ca="1">113.1*OFFSET(I$112,MATCH($N$1,$C$112:$C$113,0)-1,0)</f>
        <v>113.1</v>
      </c>
      <c r="J34" s="31">
        <f ca="1">144*OFFSET(J$112,MATCH($N$1,$C$112:$C$113,0)-1,0)</f>
        <v>144</v>
      </c>
      <c r="K34" s="31">
        <f ca="1">147.8*OFFSET(K$112,MATCH($N$1,$C$112:$C$113,0)-1,0)</f>
        <v>147.80000000000001</v>
      </c>
      <c r="L34" s="31">
        <f ca="1">151.5*OFFSET(L$112,MATCH($N$1,$C$112:$C$113,0)-1,0)</f>
        <v>151.5</v>
      </c>
      <c r="M34" s="31">
        <f ca="1">121*OFFSET(M$112,MATCH($N$1,$C$112:$C$113,0)-1,0)</f>
        <v>121</v>
      </c>
      <c r="N34" s="31">
        <v>113.10000000000001</v>
      </c>
      <c r="O34" s="28">
        <f t="shared" ca="1" si="0"/>
        <v>-0.11433046202036017</v>
      </c>
      <c r="P34" s="28">
        <f t="shared" ca="1" si="1"/>
        <v>-0.21458333333333326</v>
      </c>
    </row>
    <row r="35" spans="1:16" ht="18" customHeight="1">
      <c r="A35" s="178"/>
      <c r="B35" s="35" t="s">
        <v>210</v>
      </c>
      <c r="C35" s="31"/>
      <c r="D35" s="31">
        <f ca="1">617.3*OFFSET(D$112,MATCH($N$1,$C$112:$C$113,0)-1,0)</f>
        <v>617.29999999999995</v>
      </c>
      <c r="E35" s="31">
        <f ca="1">654.6*OFFSET(E$112,MATCH($N$1,$C$112:$C$113,0)-1,0)</f>
        <v>654.6</v>
      </c>
      <c r="F35" s="31">
        <f ca="1">630.2*OFFSET(F$112,MATCH($N$1,$C$112:$C$113,0)-1,0)</f>
        <v>630.20000000000005</v>
      </c>
      <c r="G35" s="31">
        <f ca="1">657.2*OFFSET(G$112,MATCH($N$1,$C$112:$C$113,0)-1,0)</f>
        <v>657.2</v>
      </c>
      <c r="H35" s="31">
        <f ca="1">662.2*OFFSET(H$112,MATCH($N$1,$C$112:$C$113,0)-1,0)</f>
        <v>662.2</v>
      </c>
      <c r="I35" s="31">
        <f ca="1">564.6*OFFSET(I$112,MATCH($N$1,$C$112:$C$113,0)-1,0)</f>
        <v>564.6</v>
      </c>
      <c r="J35" s="31">
        <f ca="1">557.2*OFFSET(J$112,MATCH($N$1,$C$112:$C$113,0)-1,0)</f>
        <v>557.20000000000005</v>
      </c>
      <c r="K35" s="31">
        <f ca="1">632*OFFSET(K$112,MATCH($N$1,$C$112:$C$113,0)-1,0)</f>
        <v>632</v>
      </c>
      <c r="L35" s="31">
        <f ca="1">610.5*OFFSET(L$112,MATCH($N$1,$C$112:$C$113,0)-1,0)</f>
        <v>610.5</v>
      </c>
      <c r="M35" s="31">
        <f ca="1">570.4*OFFSET(M$112,MATCH($N$1,$C$112:$C$113,0)-1,0)</f>
        <v>570.4</v>
      </c>
      <c r="N35" s="31">
        <v>440.1</v>
      </c>
      <c r="O35" s="28">
        <f t="shared" ca="1" si="0"/>
        <v>-0.28705653653005014</v>
      </c>
      <c r="P35" s="28">
        <f t="shared" ca="1" si="1"/>
        <v>-0.21015793251974157</v>
      </c>
    </row>
    <row r="36" spans="1:16" ht="18" customHeight="1">
      <c r="A36" s="178"/>
      <c r="B36" s="40" t="s">
        <v>211</v>
      </c>
      <c r="C36" s="41"/>
      <c r="D36" s="41">
        <f ca="1">192.4*OFFSET(D$112,MATCH($N$1,$C$112:$C$113,0)-1,0)</f>
        <v>192.4</v>
      </c>
      <c r="E36" s="41">
        <f ca="1">207.9*OFFSET(E$112,MATCH($N$1,$C$112:$C$113,0)-1,0)</f>
        <v>207.9</v>
      </c>
      <c r="F36" s="41">
        <f ca="1">276.8*OFFSET(F$112,MATCH($N$1,$C$112:$C$113,0)-1,0)</f>
        <v>276.8</v>
      </c>
      <c r="G36" s="41">
        <f ca="1">215.7*OFFSET(G$112,MATCH($N$1,$C$112:$C$113,0)-1,0)</f>
        <v>215.7</v>
      </c>
      <c r="H36" s="41">
        <f ca="1">218.6*OFFSET(H$112,MATCH($N$1,$C$112:$C$113,0)-1,0)</f>
        <v>218.6</v>
      </c>
      <c r="I36" s="41">
        <f ca="1">271.2*OFFSET(I$112,MATCH($N$1,$C$112:$C$113,0)-1,0)</f>
        <v>271.2</v>
      </c>
      <c r="J36" s="41">
        <f ca="1">377.8*OFFSET(J$112,MATCH($N$1,$C$112:$C$113,0)-1,0)</f>
        <v>377.8</v>
      </c>
      <c r="K36" s="41">
        <f ca="1">409.9*OFFSET(K$112,MATCH($N$1,$C$112:$C$113,0)-1,0)</f>
        <v>409.9</v>
      </c>
      <c r="L36" s="41">
        <f ca="1">299.8*OFFSET(L$112,MATCH($N$1,$C$112:$C$113,0)-1,0)</f>
        <v>299.8</v>
      </c>
      <c r="M36" s="41">
        <f ca="1">374.1*OFFSET(M$112,MATCH($N$1,$C$112:$C$113,0)-1,0)</f>
        <v>374.1</v>
      </c>
      <c r="N36" s="41">
        <v>275.90000000000003</v>
      </c>
      <c r="O36" s="28">
        <f t="shared" ca="1" si="0"/>
        <v>0.43399168399168414</v>
      </c>
      <c r="P36" s="28">
        <f t="shared" ca="1" si="1"/>
        <v>-0.26971942826892531</v>
      </c>
    </row>
    <row r="37" spans="1:16" ht="18" customHeight="1">
      <c r="A37" s="178"/>
      <c r="B37" s="40" t="s">
        <v>212</v>
      </c>
      <c r="C37" s="41"/>
      <c r="D37" s="41">
        <f ca="1">25.2*OFFSET(D$112,MATCH($N$1,$C$112:$C$113,0)-1,0)</f>
        <v>25.2</v>
      </c>
      <c r="E37" s="41">
        <f ca="1">26.3*OFFSET(E$112,MATCH($N$1,$C$112:$C$113,0)-1,0)</f>
        <v>26.3</v>
      </c>
      <c r="F37" s="41">
        <f ca="1">100.6*OFFSET(F$112,MATCH($N$1,$C$112:$C$113,0)-1,0)</f>
        <v>100.6</v>
      </c>
      <c r="G37" s="41">
        <f ca="1">44.7*OFFSET(G$112,MATCH($N$1,$C$112:$C$113,0)-1,0)</f>
        <v>44.7</v>
      </c>
      <c r="H37" s="41">
        <f ca="1">36.9*OFFSET(H$112,MATCH($N$1,$C$112:$C$113,0)-1,0)</f>
        <v>36.9</v>
      </c>
      <c r="I37" s="41">
        <f ca="1">89.7*OFFSET(I$112,MATCH($N$1,$C$112:$C$113,0)-1,0)</f>
        <v>89.7</v>
      </c>
      <c r="J37" s="41">
        <f ca="1">176.6*OFFSET(J$112,MATCH($N$1,$C$112:$C$113,0)-1,0)</f>
        <v>176.6</v>
      </c>
      <c r="K37" s="41">
        <f ca="1">189.7*OFFSET(K$112,MATCH($N$1,$C$112:$C$113,0)-1,0)</f>
        <v>189.7</v>
      </c>
      <c r="L37" s="41">
        <f ca="1">110.3*OFFSET(L$112,MATCH($N$1,$C$112:$C$113,0)-1,0)</f>
        <v>110.3</v>
      </c>
      <c r="M37" s="41">
        <f ca="1">175.8*OFFSET(M$112,MATCH($N$1,$C$112:$C$113,0)-1,0)</f>
        <v>175.8</v>
      </c>
      <c r="N37" s="41">
        <v>123.60000000000001</v>
      </c>
      <c r="O37" s="28">
        <f t="shared" ca="1" si="0"/>
        <v>3.9047619047619051</v>
      </c>
      <c r="P37" s="28">
        <f t="shared" ca="1" si="1"/>
        <v>-0.30011325028312563</v>
      </c>
    </row>
    <row r="38" spans="1:16" ht="18" customHeight="1">
      <c r="A38" s="178"/>
      <c r="B38" s="35" t="s">
        <v>213</v>
      </c>
      <c r="C38" s="31"/>
      <c r="D38" s="31">
        <f ca="1">13*OFFSET(D$112,MATCH($N$1,$C$112:$C$113,0)-1,0)</f>
        <v>13</v>
      </c>
      <c r="E38" s="31">
        <f ca="1">15.7*OFFSET(E$112,MATCH($N$1,$C$112:$C$113,0)-1,0)</f>
        <v>15.7</v>
      </c>
      <c r="F38" s="31">
        <f ca="1">11.8*OFFSET(F$112,MATCH($N$1,$C$112:$C$113,0)-1,0)</f>
        <v>11.8</v>
      </c>
      <c r="G38" s="31">
        <f ca="1">12.4*OFFSET(G$112,MATCH($N$1,$C$112:$C$113,0)-1,0)</f>
        <v>12.4</v>
      </c>
      <c r="H38" s="31">
        <f ca="1">13.4*OFFSET(H$112,MATCH($N$1,$C$112:$C$113,0)-1,0)</f>
        <v>13.4</v>
      </c>
      <c r="I38" s="31">
        <f ca="1">20.5*OFFSET(I$112,MATCH($N$1,$C$112:$C$113,0)-1,0)</f>
        <v>20.5</v>
      </c>
      <c r="J38" s="31">
        <f ca="1">26.3*OFFSET(J$112,MATCH($N$1,$C$112:$C$113,0)-1,0)</f>
        <v>26.3</v>
      </c>
      <c r="K38" s="31">
        <f ca="1">26.3*OFFSET(K$112,MATCH($N$1,$C$112:$C$113,0)-1,0)</f>
        <v>26.3</v>
      </c>
      <c r="L38" s="31">
        <f ca="1">26.9*OFFSET(L$112,MATCH($N$1,$C$112:$C$113,0)-1,0)</f>
        <v>26.9</v>
      </c>
      <c r="M38" s="31">
        <f ca="1">21.7*OFFSET(M$112,MATCH($N$1,$C$112:$C$113,0)-1,0)</f>
        <v>21.7</v>
      </c>
      <c r="N38" s="31"/>
      <c r="O38" s="28" t="str">
        <f t="shared" si="0"/>
        <v/>
      </c>
      <c r="P38" s="28" t="str">
        <f t="shared" si="1"/>
        <v/>
      </c>
    </row>
    <row r="39" spans="1:16" ht="18" customHeight="1">
      <c r="A39" s="178"/>
      <c r="B39" s="35" t="s">
        <v>214</v>
      </c>
      <c r="C39" s="31"/>
      <c r="D39" s="31">
        <f ca="1">6.9*OFFSET(D$112,MATCH($N$1,$C$112:$C$113,0)-1,0)</f>
        <v>6.9</v>
      </c>
      <c r="E39" s="31">
        <f ca="1">10*OFFSET(E$112,MATCH($N$1,$C$112:$C$113,0)-1,0)</f>
        <v>10</v>
      </c>
      <c r="F39" s="31">
        <f ca="1">7.5*OFFSET(F$112,MATCH($N$1,$C$112:$C$113,0)-1,0)</f>
        <v>7.5</v>
      </c>
      <c r="G39" s="31">
        <f ca="1">12.2*OFFSET(G$112,MATCH($N$1,$C$112:$C$113,0)-1,0)</f>
        <v>12.2</v>
      </c>
      <c r="H39" s="31">
        <f ca="1">8.3*OFFSET(H$112,MATCH($N$1,$C$112:$C$113,0)-1,0)</f>
        <v>8.3000000000000007</v>
      </c>
      <c r="I39" s="31">
        <f ca="1">5.7*OFFSET(I$112,MATCH($N$1,$C$112:$C$113,0)-1,0)</f>
        <v>5.7</v>
      </c>
      <c r="J39" s="31"/>
      <c r="K39" s="31">
        <f ca="1">1.1*OFFSET(K$112,MATCH($N$1,$C$112:$C$113,0)-1,0)</f>
        <v>1.1000000000000001</v>
      </c>
      <c r="L39" s="31">
        <f ca="1">4.8*OFFSET(L$112,MATCH($N$1,$C$112:$C$113,0)-1,0)</f>
        <v>4.8</v>
      </c>
      <c r="M39" s="31">
        <f ca="1">3.8*OFFSET(M$112,MATCH($N$1,$C$112:$C$113,0)-1,0)</f>
        <v>3.8</v>
      </c>
      <c r="N39" s="31"/>
      <c r="O39" s="28" t="str">
        <f t="shared" si="0"/>
        <v/>
      </c>
      <c r="P39" s="28" t="str">
        <f t="shared" si="1"/>
        <v/>
      </c>
    </row>
    <row r="40" spans="1:16" ht="18" customHeight="1">
      <c r="A40" s="178"/>
      <c r="B40" s="35" t="s">
        <v>215</v>
      </c>
      <c r="C40" s="31"/>
      <c r="D40" s="31"/>
      <c r="E40" s="31">
        <f ca="1">5.8*OFFSET(E$112,MATCH($N$1,$C$112:$C$113,0)-1,0)</f>
        <v>5.8</v>
      </c>
      <c r="F40" s="31">
        <f ca="1">3*OFFSET(F$112,MATCH($N$1,$C$112:$C$113,0)-1,0)</f>
        <v>3</v>
      </c>
      <c r="G40" s="31">
        <f ca="1">2.1*OFFSET(G$112,MATCH($N$1,$C$112:$C$113,0)-1,0)</f>
        <v>2.1</v>
      </c>
      <c r="H40" s="31">
        <f ca="1">2.2*OFFSET(H$112,MATCH($N$1,$C$112:$C$113,0)-1,0)</f>
        <v>2.2000000000000002</v>
      </c>
      <c r="I40" s="31">
        <f ca="1">0.1*OFFSET(I$112,MATCH($N$1,$C$112:$C$113,0)-1,0)</f>
        <v>0.1</v>
      </c>
      <c r="J40" s="31"/>
      <c r="K40" s="31"/>
      <c r="L40" s="31">
        <f ca="1">0.1*OFFSET(L$112,MATCH($N$1,$C$112:$C$113,0)-1,0)</f>
        <v>0.1</v>
      </c>
      <c r="M40" s="31">
        <f ca="1">0.5*OFFSET(M$112,MATCH($N$1,$C$112:$C$113,0)-1,0)</f>
        <v>0.5</v>
      </c>
      <c r="N40" s="31"/>
      <c r="O40" s="28" t="str">
        <f t="shared" si="0"/>
        <v/>
      </c>
      <c r="P40" s="28" t="str">
        <f t="shared" si="1"/>
        <v/>
      </c>
    </row>
    <row r="41" spans="1:16" ht="18" customHeight="1" thickBot="1">
      <c r="A41" s="179"/>
      <c r="B41" s="42" t="s">
        <v>216</v>
      </c>
      <c r="C41" s="43"/>
      <c r="D41" s="43">
        <f ca="1">5.3*OFFSET(D$112,MATCH($N$1,$C$112:$C$113,0)-1,0)</f>
        <v>5.3</v>
      </c>
      <c r="E41" s="43">
        <f ca="1">-5.2*OFFSET(E$112,MATCH($N$1,$C$112:$C$113,0)-1,0)</f>
        <v>-5.2</v>
      </c>
      <c r="F41" s="43">
        <f ca="1">78.3*OFFSET(F$112,MATCH($N$1,$C$112:$C$113,0)-1,0)</f>
        <v>78.3</v>
      </c>
      <c r="G41" s="43">
        <f ca="1">18*OFFSET(G$112,MATCH($N$1,$C$112:$C$113,0)-1,0)</f>
        <v>18</v>
      </c>
      <c r="H41" s="43">
        <f ca="1">12.9*OFFSET(H$112,MATCH($N$1,$C$112:$C$113,0)-1,0)</f>
        <v>12.9</v>
      </c>
      <c r="I41" s="43">
        <f ca="1">63.5*OFFSET(I$112,MATCH($N$1,$C$112:$C$113,0)-1,0)</f>
        <v>63.5</v>
      </c>
      <c r="J41" s="43">
        <f ca="1">150.3*OFFSET(J$112,MATCH($N$1,$C$112:$C$113,0)-1,0)</f>
        <v>150.30000000000001</v>
      </c>
      <c r="K41" s="43">
        <f ca="1">162.2*OFFSET(K$112,MATCH($N$1,$C$112:$C$113,0)-1,0)</f>
        <v>162.19999999999999</v>
      </c>
      <c r="L41" s="43">
        <f ca="1">78.6*OFFSET(L$112,MATCH($N$1,$C$112:$C$113,0)-1,0)</f>
        <v>78.599999999999994</v>
      </c>
      <c r="M41" s="43">
        <f ca="1">149.8*OFFSET(M$112,MATCH($N$1,$C$112:$C$113,0)-1,0)</f>
        <v>149.80000000000001</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163</v>
      </c>
      <c r="F46" s="90" t="s">
        <v>159</v>
      </c>
      <c r="G46" s="90" t="s">
        <v>163</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South West beamers under 250kW</v>
      </c>
      <c r="B48" s="202"/>
      <c r="C48" s="92"/>
      <c r="D48" s="92"/>
      <c r="E48" s="92"/>
      <c r="F48" s="92"/>
      <c r="G48" s="92"/>
      <c r="H48" s="202"/>
      <c r="I48" s="202"/>
      <c r="J48" s="202"/>
      <c r="K48" s="92" t="str">
        <f>$B24&amp;CHAR(10)&amp;$A$1</f>
        <v>Operating profit per kW day at sea (£)
South West beamers under 250kW</v>
      </c>
      <c r="L48" s="202"/>
      <c r="M48" s="202"/>
      <c r="N48" s="202"/>
      <c r="O48" s="202"/>
      <c r="P48" s="202"/>
    </row>
    <row r="49" spans="1:11" s="80" customFormat="1">
      <c r="A49" s="92" t="str">
        <f>$B22&amp;CHAR(10)&amp;$A$1</f>
        <v>Fishing income per kW day at sea (£)
South West beamers under 250kW</v>
      </c>
      <c r="B49" s="202"/>
      <c r="C49" s="202"/>
      <c r="D49" s="202"/>
      <c r="E49" s="202"/>
      <c r="F49" s="202"/>
      <c r="G49" s="202"/>
      <c r="H49" s="202"/>
      <c r="I49" s="202"/>
      <c r="J49" s="202"/>
      <c r="K49" s="202"/>
    </row>
    <row r="50" spans="1:11" s="80" customFormat="1">
      <c r="A50" s="92" t="str">
        <f>$B20&amp;CHAR(10)&amp;$A$1</f>
        <v>Average price per tonne landed (£)
South West beamers under 250kW</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South West beamers under 250kW</v>
      </c>
      <c r="C62" s="202"/>
      <c r="D62" s="202"/>
      <c r="E62" s="202"/>
      <c r="F62" s="92" t="str">
        <f>$B20&amp;CHAR(10)&amp;$A$1</f>
        <v>Average price per tonne landed (£)
South West beamers under 250kW</v>
      </c>
      <c r="G62" s="202"/>
      <c r="H62" s="202"/>
      <c r="I62" s="202"/>
      <c r="J62" s="202"/>
      <c r="K62" s="92" t="str">
        <f>"Average annual operating profit per vessel (£'000)"&amp;CHAR(10)&amp;$A$1</f>
        <v>Average annual operating profit per vessel (£'000)
South West beamers under 250kW</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South West beamers under 250kW</v>
      </c>
      <c r="F76" s="92" t="str">
        <f>"Top 5 landed species by value in "&amp;A77&amp;CHAR(10)&amp;A1</f>
        <v>Top 5 landed species by value in 2019
South West beamers under 250kW</v>
      </c>
    </row>
    <row r="77" spans="1:11" s="92" customFormat="1">
      <c r="A77" s="92">
        <v>2019</v>
      </c>
      <c r="B77" s="92" t="s">
        <v>536</v>
      </c>
      <c r="C77" s="93">
        <v>0.24917654106509163</v>
      </c>
      <c r="D77" s="94">
        <v>553960</v>
      </c>
      <c r="G77" s="92" t="s">
        <v>537</v>
      </c>
      <c r="H77" s="93">
        <v>0.34313614012655197</v>
      </c>
      <c r="I77" s="94">
        <v>12153634</v>
      </c>
      <c r="K77" s="92" t="s">
        <v>230</v>
      </c>
    </row>
    <row r="78" spans="1:11" s="92" customFormat="1">
      <c r="B78" s="92" t="s">
        <v>538</v>
      </c>
      <c r="C78" s="93">
        <v>0.12017354994697123</v>
      </c>
      <c r="D78" s="94">
        <v>1692097</v>
      </c>
      <c r="G78" s="92" t="s">
        <v>539</v>
      </c>
      <c r="H78" s="93">
        <v>0.19411609234753219</v>
      </c>
      <c r="I78" s="94">
        <v>553960</v>
      </c>
    </row>
    <row r="79" spans="1:11" s="92" customFormat="1">
      <c r="B79" s="92" t="s">
        <v>540</v>
      </c>
      <c r="C79" s="93">
        <v>0.11052483135405719</v>
      </c>
      <c r="D79" s="94">
        <v>3050596</v>
      </c>
      <c r="G79" s="92" t="s">
        <v>420</v>
      </c>
      <c r="H79" s="93">
        <v>9.7349128873374713E-2</v>
      </c>
      <c r="I79" s="94">
        <v>3050596</v>
      </c>
    </row>
    <row r="80" spans="1:11" s="92" customFormat="1">
      <c r="B80" s="92" t="s">
        <v>541</v>
      </c>
      <c r="C80" s="93">
        <v>9.3825968587356423E-2</v>
      </c>
      <c r="D80" s="94">
        <v>12153634</v>
      </c>
      <c r="G80" s="92" t="s">
        <v>542</v>
      </c>
      <c r="H80" s="93">
        <v>8.2308003079815575E-2</v>
      </c>
      <c r="I80" s="94">
        <v>1692097</v>
      </c>
    </row>
    <row r="81" spans="1:19" s="92" customFormat="1">
      <c r="B81" s="92" t="s">
        <v>543</v>
      </c>
      <c r="C81" s="93">
        <v>6.0769006459713192E-2</v>
      </c>
      <c r="D81" s="94">
        <v>11115023</v>
      </c>
      <c r="G81" s="92" t="s">
        <v>544</v>
      </c>
      <c r="H81" s="93">
        <v>4.9839328767719168E-2</v>
      </c>
      <c r="I81" s="94">
        <v>3689192</v>
      </c>
    </row>
    <row r="82" spans="1:19" s="92" customFormat="1">
      <c r="B82" s="92" t="s">
        <v>545</v>
      </c>
      <c r="C82" s="93">
        <v>0.3655301025868104</v>
      </c>
      <c r="D82" s="94">
        <v>5920853</v>
      </c>
      <c r="G82" s="92" t="s">
        <v>546</v>
      </c>
      <c r="H82" s="93">
        <v>0.2332513068050065</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171</v>
      </c>
      <c r="D92" s="98">
        <v>0.33165464597423738</v>
      </c>
      <c r="E92" s="98">
        <v>0.29691433154849461</v>
      </c>
      <c r="F92" s="98">
        <v>0.30137013569889393</v>
      </c>
      <c r="G92" s="98">
        <v>0.31327666193874859</v>
      </c>
      <c r="H92" s="98">
        <v>0.249869726285287</v>
      </c>
      <c r="I92" s="98">
        <v>0.30845283126236539</v>
      </c>
      <c r="J92" s="98">
        <v>0.27127441686556769</v>
      </c>
      <c r="K92" s="98">
        <v>0.30619542803316985</v>
      </c>
      <c r="L92" s="98">
        <v>0.34313614012655197</v>
      </c>
      <c r="M92" s="98">
        <v>0.39216586630944161</v>
      </c>
      <c r="O92" s="92">
        <v>12153634</v>
      </c>
    </row>
    <row r="93" spans="1:19" s="92" customFormat="1" hidden="1">
      <c r="B93" s="92">
        <v>2</v>
      </c>
      <c r="C93" s="92" t="s">
        <v>162</v>
      </c>
      <c r="D93" s="98">
        <v>0.18713158370673877</v>
      </c>
      <c r="E93" s="98">
        <v>0.22601312548148128</v>
      </c>
      <c r="F93" s="98">
        <v>0.176768965806258</v>
      </c>
      <c r="G93" s="98">
        <v>0.13221071188071332</v>
      </c>
      <c r="H93" s="98">
        <v>0.21384471077836212</v>
      </c>
      <c r="I93" s="98">
        <v>0.20228788958969762</v>
      </c>
      <c r="J93" s="98">
        <v>0.32155277023419343</v>
      </c>
      <c r="K93" s="98">
        <v>0.23451764617336684</v>
      </c>
      <c r="L93" s="98">
        <v>0.19411609234753219</v>
      </c>
      <c r="M93" s="98">
        <v>0.13889153445514676</v>
      </c>
      <c r="O93" s="92">
        <v>553960</v>
      </c>
    </row>
    <row r="94" spans="1:19" s="92" customFormat="1" hidden="1">
      <c r="B94" s="92">
        <v>3</v>
      </c>
      <c r="C94" s="92" t="s">
        <v>161</v>
      </c>
      <c r="D94" s="98">
        <v>0.14826074144753459</v>
      </c>
      <c r="E94" s="98">
        <v>0.14394694726582083</v>
      </c>
      <c r="F94" s="98">
        <v>0.16010500847611142</v>
      </c>
      <c r="G94" s="98">
        <v>0.15584372871393073</v>
      </c>
      <c r="H94" s="98">
        <v>0.13602908656050966</v>
      </c>
      <c r="I94" s="98">
        <v>0.13059844942228363</v>
      </c>
      <c r="J94" s="98">
        <v>9.2511798252933597E-2</v>
      </c>
      <c r="K94" s="98">
        <v>7.9992366619658195E-2</v>
      </c>
      <c r="L94" s="98">
        <v>9.7349128873374713E-2</v>
      </c>
      <c r="M94" s="98">
        <v>0.12438062968452329</v>
      </c>
      <c r="O94" s="92">
        <v>3050596</v>
      </c>
    </row>
    <row r="95" spans="1:19" s="92" customFormat="1" hidden="1">
      <c r="B95" s="92">
        <v>4</v>
      </c>
      <c r="C95" s="92" t="s">
        <v>168</v>
      </c>
      <c r="D95" s="98">
        <v>6.0458362956310782E-2</v>
      </c>
      <c r="E95" s="98">
        <v>5.3924473115099888E-2</v>
      </c>
      <c r="F95" s="98">
        <v>5.2155063158520858E-2</v>
      </c>
      <c r="G95" s="98"/>
      <c r="H95" s="98">
        <v>5.8053617621774058E-2</v>
      </c>
      <c r="I95" s="98">
        <v>6.8758930702755891E-2</v>
      </c>
      <c r="J95" s="98">
        <v>7.0112024980534052E-2</v>
      </c>
      <c r="K95" s="98">
        <v>8.8835811922408719E-2</v>
      </c>
      <c r="L95" s="98">
        <v>8.2308003079815575E-2</v>
      </c>
      <c r="M95" s="98">
        <v>6.7325595842681135E-2</v>
      </c>
      <c r="O95" s="92">
        <v>1692097</v>
      </c>
    </row>
    <row r="96" spans="1:19" s="92" customFormat="1" hidden="1">
      <c r="B96" s="92">
        <v>5</v>
      </c>
      <c r="C96" s="92" t="s">
        <v>286</v>
      </c>
      <c r="D96" s="98"/>
      <c r="E96" s="98"/>
      <c r="F96" s="98"/>
      <c r="G96" s="98"/>
      <c r="H96" s="98"/>
      <c r="I96" s="98"/>
      <c r="J96" s="98">
        <v>4.9078084081424708E-2</v>
      </c>
      <c r="K96" s="98">
        <v>4.9573355836687732E-2</v>
      </c>
      <c r="L96" s="98">
        <v>4.9839328767719168E-2</v>
      </c>
      <c r="M96" s="98"/>
      <c r="O96" s="92">
        <v>3689192</v>
      </c>
    </row>
    <row r="97" spans="1:15" s="92" customFormat="1" hidden="1">
      <c r="B97" s="92">
        <v>6</v>
      </c>
      <c r="C97" s="92" t="s">
        <v>172</v>
      </c>
      <c r="D97" s="98">
        <v>4.7252161892689985E-2</v>
      </c>
      <c r="E97" s="98">
        <v>4.4048966568223442E-2</v>
      </c>
      <c r="F97" s="98">
        <v>5.7972394508236831E-2</v>
      </c>
      <c r="G97" s="98">
        <v>7.156080587492529E-2</v>
      </c>
      <c r="H97" s="98">
        <v>8.3039232908570543E-2</v>
      </c>
      <c r="I97" s="98">
        <v>5.9237091732385019E-2</v>
      </c>
      <c r="J97" s="98"/>
      <c r="K97" s="98"/>
      <c r="L97" s="98"/>
      <c r="M97" s="98">
        <v>5.7410017028836038E-2</v>
      </c>
      <c r="O97" s="92">
        <v>11115023</v>
      </c>
    </row>
    <row r="98" spans="1:15" s="92" customFormat="1" hidden="1">
      <c r="B98" s="92">
        <v>7</v>
      </c>
      <c r="C98" s="92" t="s">
        <v>326</v>
      </c>
      <c r="D98" s="98"/>
      <c r="E98" s="98"/>
      <c r="F98" s="98"/>
      <c r="G98" s="98">
        <v>6.1823384450716522E-2</v>
      </c>
      <c r="H98" s="98"/>
      <c r="I98" s="98"/>
      <c r="J98" s="98"/>
      <c r="K98" s="98"/>
      <c r="L98" s="98"/>
      <c r="M98" s="98"/>
      <c r="O98" s="92">
        <v>2480382</v>
      </c>
    </row>
    <row r="99" spans="1:15" s="92" customFormat="1" hidden="1">
      <c r="B99" s="92">
        <v>8</v>
      </c>
      <c r="C99" s="92" t="s">
        <v>245</v>
      </c>
      <c r="D99" s="98">
        <v>0.22524250402248852</v>
      </c>
      <c r="E99" s="98">
        <v>0.23515215602087994</v>
      </c>
      <c r="F99" s="98">
        <v>0.25162843235197896</v>
      </c>
      <c r="G99" s="98">
        <v>0.26528470714096553</v>
      </c>
      <c r="H99" s="98">
        <v>0.25916362584549663</v>
      </c>
      <c r="I99" s="98">
        <v>0.23066480729051245</v>
      </c>
      <c r="J99" s="98">
        <v>0.19547090558534652</v>
      </c>
      <c r="K99" s="98">
        <v>0.24088539141470869</v>
      </c>
      <c r="L99" s="98">
        <v>0.23325130680500641</v>
      </c>
      <c r="M99" s="98">
        <v>0.21982635667937117</v>
      </c>
      <c r="O99" s="92">
        <v>5920853</v>
      </c>
    </row>
    <row r="100" spans="1:15" s="92" customFormat="1" hidden="1">
      <c r="B100" s="92">
        <v>9</v>
      </c>
      <c r="D100" s="98"/>
      <c r="E100" s="98"/>
      <c r="F100" s="98"/>
      <c r="G100" s="98"/>
      <c r="H100" s="98"/>
      <c r="I100" s="98"/>
      <c r="J100" s="98"/>
      <c r="K100" s="98"/>
      <c r="L100" s="98"/>
      <c r="M100" s="98"/>
      <c r="O100" s="92">
        <v>8497745</v>
      </c>
    </row>
    <row r="101" spans="1:15" s="92" customFormat="1" hidden="1">
      <c r="B101" s="92">
        <v>10</v>
      </c>
      <c r="D101" s="98"/>
      <c r="E101" s="98"/>
      <c r="F101" s="98"/>
      <c r="G101" s="98"/>
      <c r="H101" s="98"/>
      <c r="I101" s="98"/>
      <c r="J101" s="98"/>
      <c r="K101" s="98"/>
      <c r="L101" s="98"/>
      <c r="M101" s="98"/>
      <c r="O101" s="92">
        <v>14393110</v>
      </c>
    </row>
    <row r="102" spans="1:15" s="92" customFormat="1" hidden="1">
      <c r="B102" s="92">
        <v>11</v>
      </c>
      <c r="D102" s="98"/>
      <c r="E102" s="98"/>
      <c r="F102" s="98"/>
      <c r="G102" s="98"/>
      <c r="H102" s="98"/>
      <c r="I102" s="98"/>
      <c r="J102" s="98"/>
      <c r="K102" s="98"/>
      <c r="L102" s="98"/>
      <c r="M102" s="98"/>
      <c r="O102" s="92">
        <v>2887140</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9</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6</v>
      </c>
      <c r="D120" s="54">
        <v>10</v>
      </c>
      <c r="E120" s="54">
        <v>6</v>
      </c>
      <c r="F120" s="55">
        <v>22</v>
      </c>
    </row>
    <row r="121" spans="1:15" ht="18" customHeight="1">
      <c r="A121" s="173" t="s">
        <v>191</v>
      </c>
      <c r="B121" s="33" t="s">
        <v>192</v>
      </c>
      <c r="C121" s="56">
        <v>21.896665573120117</v>
      </c>
      <c r="D121" s="56">
        <v>20.741000175476074</v>
      </c>
      <c r="E121" s="56">
        <v>21.083333969116211</v>
      </c>
      <c r="F121" s="57">
        <v>21.149545669555664</v>
      </c>
      <c r="G121" s="206"/>
      <c r="H121" s="206"/>
      <c r="I121" s="206"/>
      <c r="J121" s="206"/>
      <c r="K121" s="206"/>
      <c r="L121" s="206"/>
      <c r="M121" s="206"/>
      <c r="N121" s="206"/>
      <c r="O121" s="206"/>
    </row>
    <row r="122" spans="1:15" ht="18" customHeight="1">
      <c r="A122" s="174"/>
      <c r="B122" s="35" t="s">
        <v>184</v>
      </c>
      <c r="C122" s="58">
        <v>218.83332824707031</v>
      </c>
      <c r="D122" s="58">
        <v>217.09999847412109</v>
      </c>
      <c r="E122" s="58">
        <v>220.16667175292969</v>
      </c>
      <c r="F122" s="59">
        <v>218.40908813476563</v>
      </c>
      <c r="G122" s="206"/>
      <c r="H122" s="206"/>
      <c r="I122" s="206"/>
      <c r="J122" s="206"/>
      <c r="K122" s="206"/>
      <c r="L122" s="206"/>
      <c r="M122" s="206"/>
      <c r="N122" s="206"/>
      <c r="O122" s="206"/>
    </row>
    <row r="123" spans="1:15" ht="18" customHeight="1">
      <c r="A123" s="174"/>
      <c r="B123" s="35" t="s">
        <v>185</v>
      </c>
      <c r="C123" s="58">
        <v>119.16666412353516</v>
      </c>
      <c r="D123" s="58">
        <v>109.70000076293945</v>
      </c>
      <c r="E123" s="58">
        <v>82.166664123535156</v>
      </c>
      <c r="F123" s="59">
        <v>104.77272796630859</v>
      </c>
      <c r="G123" s="206"/>
      <c r="H123" s="206"/>
      <c r="I123" s="206"/>
      <c r="J123" s="206"/>
      <c r="K123" s="206"/>
      <c r="L123" s="206"/>
      <c r="M123" s="206"/>
      <c r="N123" s="206"/>
      <c r="O123" s="206"/>
    </row>
    <row r="124" spans="1:15" ht="18" customHeight="1">
      <c r="A124" s="174"/>
      <c r="B124" s="35" t="s">
        <v>186</v>
      </c>
      <c r="C124" s="58">
        <v>241.64459228515625</v>
      </c>
      <c r="D124" s="58">
        <v>232.82093048095703</v>
      </c>
      <c r="E124" s="58">
        <v>225.98625183105469</v>
      </c>
      <c r="F124" s="59">
        <v>233.36338806152344</v>
      </c>
      <c r="G124" s="206"/>
      <c r="H124" s="206"/>
      <c r="I124" s="206"/>
      <c r="J124" s="206"/>
      <c r="K124" s="206"/>
      <c r="L124" s="206"/>
      <c r="M124" s="206"/>
      <c r="N124" s="206"/>
      <c r="O124" s="206"/>
    </row>
    <row r="125" spans="1:15" ht="18" customHeight="1">
      <c r="A125" s="174"/>
      <c r="B125" s="35" t="s">
        <v>187</v>
      </c>
      <c r="C125" s="31">
        <v>261.44140625</v>
      </c>
      <c r="D125" s="31">
        <v>217.44846343994141</v>
      </c>
      <c r="E125" s="31">
        <v>141.24058532714844</v>
      </c>
      <c r="F125" s="60">
        <v>208.66256713867188</v>
      </c>
      <c r="G125" s="206"/>
      <c r="H125" s="206"/>
      <c r="I125" s="206"/>
      <c r="J125" s="206"/>
      <c r="K125" s="206"/>
      <c r="L125" s="206"/>
      <c r="M125" s="206"/>
      <c r="N125" s="206"/>
      <c r="O125" s="206"/>
    </row>
    <row r="126" spans="1:15" ht="18" customHeight="1">
      <c r="A126" s="174"/>
      <c r="B126" s="35" t="s">
        <v>193</v>
      </c>
      <c r="C126" s="31">
        <f ca="1">1004.1495*OFFSET($L$112,MATCH($N$1,$C$112:$C$113,0)-1,0)</f>
        <v>1004.1495</v>
      </c>
      <c r="D126" s="31">
        <f ca="1">759.271875*OFFSET($L$112,MATCH($N$1,$C$112:$C$113,0)-1,0)</f>
        <v>759.27187500000002</v>
      </c>
      <c r="E126" s="31">
        <f ca="1">453.27253125*OFFSET($L$112,MATCH($N$1,$C$112:$C$113,0)-1,0)</f>
        <v>453.27253124999999</v>
      </c>
      <c r="F126" s="60">
        <f ca="1">742.6023125*OFFSET($L$112,MATCH($N$1,$C$112:$C$113,0)-1,0)</f>
        <v>742.60231250000004</v>
      </c>
      <c r="G126" s="206"/>
      <c r="H126" s="206"/>
      <c r="I126" s="206"/>
      <c r="J126" s="206"/>
      <c r="K126" s="206"/>
      <c r="L126" s="206"/>
      <c r="M126" s="206"/>
      <c r="N126" s="206"/>
      <c r="O126" s="206"/>
    </row>
    <row r="127" spans="1:15" ht="18" customHeight="1">
      <c r="A127" s="174"/>
      <c r="B127" s="35" t="s">
        <v>189</v>
      </c>
      <c r="C127" s="58">
        <v>247.83332824707031</v>
      </c>
      <c r="D127" s="58">
        <v>233.60000610351563</v>
      </c>
      <c r="E127" s="58">
        <v>185.66667175292969</v>
      </c>
      <c r="F127" s="59">
        <v>224.40908813476563</v>
      </c>
      <c r="G127" s="206"/>
      <c r="H127" s="206"/>
      <c r="I127" s="206"/>
      <c r="J127" s="206"/>
      <c r="K127" s="206"/>
      <c r="L127" s="206"/>
      <c r="M127" s="206"/>
      <c r="N127" s="206"/>
      <c r="O127" s="206"/>
    </row>
    <row r="128" spans="1:15" ht="18" customHeight="1">
      <c r="A128" s="174"/>
      <c r="B128" s="35" t="s">
        <v>194</v>
      </c>
      <c r="C128" s="58">
        <v>20.333333969116211</v>
      </c>
      <c r="D128" s="58">
        <v>24.899999618530273</v>
      </c>
      <c r="E128" s="58">
        <v>35.666667938232422</v>
      </c>
      <c r="F128" s="59">
        <v>26.590909957885742</v>
      </c>
      <c r="G128" s="206"/>
      <c r="H128" s="206"/>
      <c r="I128" s="206"/>
      <c r="J128" s="206"/>
      <c r="K128" s="206"/>
      <c r="L128" s="206"/>
      <c r="M128" s="206"/>
      <c r="N128" s="206"/>
      <c r="O128" s="206"/>
    </row>
    <row r="129" spans="1:15" ht="18" customHeight="1">
      <c r="A129" s="174"/>
      <c r="B129" s="35" t="s">
        <v>195</v>
      </c>
      <c r="C129" s="61">
        <v>1.0549081563949585</v>
      </c>
      <c r="D129" s="61">
        <v>0.93085812396590029</v>
      </c>
      <c r="E129" s="61">
        <v>0.76072126626968384</v>
      </c>
      <c r="F129" s="62">
        <v>0.92983120679855347</v>
      </c>
      <c r="G129" s="206"/>
      <c r="H129" s="206"/>
      <c r="I129" s="206"/>
      <c r="J129" s="206"/>
      <c r="K129" s="206"/>
      <c r="L129" s="206"/>
      <c r="M129" s="206"/>
      <c r="N129" s="206"/>
      <c r="O129" s="206"/>
    </row>
    <row r="130" spans="1:15" ht="18" customHeight="1">
      <c r="A130" s="175"/>
      <c r="B130" s="37" t="s">
        <v>196</v>
      </c>
      <c r="C130" s="38">
        <f ca="1">3840.82045152326*OFFSET($L$112,MATCH($N$1,$C$112:$C$113,0)-1,0)</f>
        <v>3840.8204515232601</v>
      </c>
      <c r="D130" s="38">
        <f ca="1">3491.73253739596*OFFSET($L$112,MATCH($N$1,$C$112:$C$113,0)-1,0)</f>
        <v>3491.7325373959602</v>
      </c>
      <c r="E130" s="38">
        <f ca="1">3209.2229736949*OFFSET($L$112,MATCH($N$1,$C$112:$C$113,0)-1,0)</f>
        <v>3209.2229736948998</v>
      </c>
      <c r="F130" s="63">
        <f ca="1">3559*OFFSET($L$112,MATCH($N$1,$C$112:$C$113,0)-1,0)</f>
        <v>3559</v>
      </c>
      <c r="G130" s="206"/>
      <c r="H130" s="206"/>
      <c r="I130" s="206"/>
      <c r="J130" s="206"/>
      <c r="K130" s="206"/>
      <c r="L130" s="206"/>
      <c r="M130" s="206"/>
      <c r="N130" s="206"/>
      <c r="O130" s="206"/>
    </row>
    <row r="131" spans="1:15" ht="18" customHeight="1">
      <c r="A131" s="184" t="s">
        <v>197</v>
      </c>
      <c r="B131" s="33" t="s">
        <v>198</v>
      </c>
      <c r="C131" s="64">
        <v>4.8152465949589738</v>
      </c>
      <c r="D131" s="64">
        <v>4.2806163534250219</v>
      </c>
      <c r="E131" s="64">
        <v>3.4556665904078789</v>
      </c>
      <c r="F131" s="65">
        <v>4.2545362521853063</v>
      </c>
      <c r="G131" s="206"/>
      <c r="H131" s="206"/>
      <c r="I131" s="206"/>
      <c r="J131" s="206"/>
      <c r="K131" s="206"/>
      <c r="L131" s="206"/>
      <c r="M131" s="206"/>
      <c r="N131" s="206"/>
      <c r="O131" s="206"/>
    </row>
    <row r="132" spans="1:15" ht="18" customHeight="1">
      <c r="A132" s="185"/>
      <c r="B132" s="35" t="s">
        <v>199</v>
      </c>
      <c r="C132" s="61">
        <f ca="1">18.4944976010461*OFFSET($L$112,MATCH($N$1,$C$112:$C$113,0)-1,0)</f>
        <v>18.494497601046099</v>
      </c>
      <c r="D132" s="61">
        <f ca="1">14.9467674013634*OFFSET($L$112,MATCH($N$1,$C$112:$C$113,0)-1,0)</f>
        <v>14.946767401363401</v>
      </c>
      <c r="E132" s="61">
        <f ca="1">11.0900046113669*OFFSET($L$112,MATCH($N$1,$C$112:$C$113,0)-1,0)</f>
        <v>11.090004611366901</v>
      </c>
      <c r="F132" s="62">
        <f ca="1">15.1413284270974*OFFSET($L$112,MATCH($N$1,$C$112:$C$113,0)-1,0)</f>
        <v>15.141328427097401</v>
      </c>
      <c r="G132" s="206"/>
      <c r="H132" s="206"/>
      <c r="I132" s="206"/>
      <c r="J132" s="206"/>
      <c r="K132" s="206"/>
      <c r="L132" s="206"/>
      <c r="M132" s="206"/>
      <c r="N132" s="206"/>
      <c r="O132" s="206"/>
    </row>
    <row r="133" spans="1:15" ht="18" customHeight="1">
      <c r="A133" s="185"/>
      <c r="B133" s="35" t="s">
        <v>154</v>
      </c>
      <c r="C133" s="61">
        <f ca="1">13.5796806076122*OFFSET($L$112,MATCH($N$1,$C$112:$C$113,0)-1,0)</f>
        <v>13.5796806076122</v>
      </c>
      <c r="D133" s="61">
        <f ca="1">11.4678106597922*OFFSET($L$112,MATCH($N$1,$C$112:$C$113,0)-1,0)</f>
        <v>11.4678106597922</v>
      </c>
      <c r="E133" s="61">
        <f ca="1">9.05550375002091*OFFSET($L$112,MATCH($N$1,$C$112:$C$113,0)-1,0)</f>
        <v>9.0555037500209092</v>
      </c>
      <c r="F133" s="62">
        <f ca="1">11.5571545424497*OFFSET($L$112,MATCH($N$1,$C$112:$C$113,0)-1,0)</f>
        <v>11.5571545424497</v>
      </c>
      <c r="G133" s="206"/>
      <c r="H133" s="206"/>
      <c r="I133" s="206"/>
      <c r="J133" s="206"/>
      <c r="K133" s="206"/>
      <c r="L133" s="206"/>
      <c r="M133" s="206"/>
      <c r="N133" s="206"/>
      <c r="O133" s="206"/>
    </row>
    <row r="134" spans="1:15" ht="18" customHeight="1">
      <c r="A134" s="186"/>
      <c r="B134" s="37" t="s">
        <v>155</v>
      </c>
      <c r="C134" s="66">
        <f ca="1">4.91481699343396*OFFSET($L$112,MATCH($N$1,$C$112:$C$113,0)-1,0)</f>
        <v>4.9148169934339601</v>
      </c>
      <c r="D134" s="66">
        <f ca="1">3.47895674157124*OFFSET($L$112,MATCH($N$1,$C$112:$C$113,0)-1,0)</f>
        <v>3.4789567415712401</v>
      </c>
      <c r="E134" s="66">
        <f ca="1">2.03450086134599*OFFSET($L$112,MATCH($N$1,$C$112:$C$113,0)-1,0)</f>
        <v>2.0345008613459901</v>
      </c>
      <c r="F134" s="67">
        <f ca="1">3.5841738846477*OFFSET($L$112,MATCH($N$1,$C$112:$C$113,0)-1,0)</f>
        <v>3.5841738846476998</v>
      </c>
      <c r="G134" s="206"/>
      <c r="H134" s="206"/>
      <c r="I134" s="206"/>
      <c r="J134" s="206"/>
      <c r="K134" s="206"/>
      <c r="L134" s="206"/>
      <c r="M134" s="206"/>
      <c r="N134" s="206"/>
      <c r="O134" s="206"/>
    </row>
    <row r="135" spans="1:15" ht="18" customHeight="1">
      <c r="A135" s="187" t="s">
        <v>254</v>
      </c>
      <c r="B135" s="35" t="s">
        <v>255</v>
      </c>
      <c r="C135" s="68">
        <f ca="1">149.536109375*OFFSET($L$112,MATCH($N$1,$C$112:$C$113,0)-1,0)</f>
        <v>149.536109375</v>
      </c>
      <c r="D135" s="68">
        <f ca="1">138.1165078125*OFFSET($L$112,MATCH($N$1,$C$112:$C$113,0)-1,0)</f>
        <v>138.1165078125</v>
      </c>
      <c r="E135" s="68">
        <f ca="1">104.800859375*OFFSET($L$112,MATCH($N$1,$C$112:$C$113,0)-1,0)</f>
        <v>104.800859375</v>
      </c>
      <c r="F135" s="69">
        <f ca="1">132.144859375*OFFSET($L$112,MATCH($N$1,$C$112:$C$113,0)-1,0)</f>
        <v>132.14485937500001</v>
      </c>
      <c r="G135" s="206"/>
      <c r="H135" s="206"/>
      <c r="I135" s="206"/>
      <c r="J135" s="206"/>
      <c r="K135" s="206"/>
      <c r="L135" s="206"/>
      <c r="M135" s="206"/>
      <c r="N135" s="206"/>
      <c r="O135" s="206"/>
    </row>
    <row r="136" spans="1:15" ht="18" customHeight="1">
      <c r="A136" s="188"/>
      <c r="B136" s="35" t="s">
        <v>256</v>
      </c>
      <c r="C136" s="30">
        <v>285783.32093746407</v>
      </c>
      <c r="D136" s="30">
        <v>263750.00841254741</v>
      </c>
      <c r="E136" s="30">
        <v>200075.0128865726</v>
      </c>
      <c r="F136" s="70">
        <v>252393.18181818182</v>
      </c>
      <c r="G136" s="206"/>
      <c r="H136" s="206"/>
      <c r="I136" s="206"/>
      <c r="J136" s="206"/>
      <c r="K136" s="206"/>
      <c r="L136" s="206"/>
      <c r="M136" s="206"/>
      <c r="N136" s="206"/>
      <c r="O136" s="206"/>
    </row>
    <row r="137" spans="1:15" ht="18" customHeight="1">
      <c r="A137" s="188"/>
      <c r="B137" s="35" t="s">
        <v>257</v>
      </c>
      <c r="C137" s="30">
        <v>1153.1270751953125</v>
      </c>
      <c r="D137" s="30">
        <v>1129.0667873342065</v>
      </c>
      <c r="E137" s="30">
        <v>1077.603271484375</v>
      </c>
      <c r="F137" s="70">
        <v>1124.7012939453125</v>
      </c>
      <c r="G137" s="206"/>
      <c r="H137" s="206"/>
      <c r="I137" s="206"/>
      <c r="J137" s="206"/>
      <c r="K137" s="206"/>
      <c r="L137" s="206"/>
      <c r="M137" s="206"/>
      <c r="N137" s="206"/>
      <c r="O137" s="206"/>
    </row>
    <row r="138" spans="1:15" ht="18" customHeight="1">
      <c r="A138" s="188"/>
      <c r="B138" s="35" t="s">
        <v>258</v>
      </c>
      <c r="C138" s="30">
        <f ca="1">603.373688408543*OFFSET($L$112,MATCH($N$1,$C$112:$C$113,0)-1,0)</f>
        <v>603.37368840854299</v>
      </c>
      <c r="D138" s="30">
        <f ca="1">591.252158406606*OFFSET($L$112,MATCH($N$1,$C$112:$C$113,0)-1,0)</f>
        <v>591.25215840660599</v>
      </c>
      <c r="E138" s="30">
        <f ca="1">564.457036825977*OFFSET($L$112,MATCH($N$1,$C$112:$C$113,0)-1,0)</f>
        <v>564.45703682597696</v>
      </c>
      <c r="F138" s="70">
        <f ca="1">588.856986467689*OFFSET($L$112,MATCH($N$1,$C$112:$C$113,0)-1,0)</f>
        <v>588.85698646768901</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571.967966053579*OFFSET($L$112,MATCH($N$1,$C$112:$C$113,0)-1,0)</f>
        <v>571.96796605357895</v>
      </c>
      <c r="D139" s="30">
        <f ca="1">635.168929812407*OFFSET($L$112,MATCH($N$1,$C$112:$C$113,0)-1,0)</f>
        <v>635.16892981240699</v>
      </c>
      <c r="E139" s="30">
        <f ca="1">742.002443081463*OFFSET($L$112,MATCH($N$1,$C$112:$C$113,0)-1,0)</f>
        <v>742.00244308146296</v>
      </c>
      <c r="F139" s="70">
        <f ca="1">633.294515576336*OFFSET($L$112,MATCH($N$1,$C$112:$C$113,0)-1,0)</f>
        <v>633.29451557633604</v>
      </c>
      <c r="G139" s="206"/>
      <c r="H139" s="206"/>
      <c r="I139" s="46"/>
      <c r="J139" s="206"/>
      <c r="K139" s="71" t="s">
        <v>260</v>
      </c>
      <c r="L139" s="72">
        <f t="shared" ref="L139:M141" ca="1" si="2">C140</f>
        <v>1008.92875</v>
      </c>
      <c r="M139" s="72">
        <f t="shared" ca="1" si="2"/>
        <v>762.885625</v>
      </c>
      <c r="N139" s="72">
        <f ca="1">E140</f>
        <v>455.42987499999998</v>
      </c>
      <c r="O139" s="72"/>
    </row>
    <row r="140" spans="1:15" ht="18" customHeight="1">
      <c r="A140" s="166" t="s">
        <v>261</v>
      </c>
      <c r="B140" s="33" t="s">
        <v>262</v>
      </c>
      <c r="C140" s="73">
        <f ca="1">1008.92875*OFFSET($L$112,MATCH($N$1,$C$112:$C$113,0)-1,0)</f>
        <v>1008.92875</v>
      </c>
      <c r="D140" s="73">
        <f ca="1">762.885625*OFFSET($L$112,MATCH($N$1,$C$112:$C$113,0)-1,0)</f>
        <v>762.885625</v>
      </c>
      <c r="E140" s="73">
        <f ca="1">455.429875*OFFSET($L$112,MATCH($N$1,$C$112:$C$113,0)-1,0)</f>
        <v>455.42987499999998</v>
      </c>
      <c r="F140" s="74">
        <f ca="1">746.1366875*OFFSET($L$112,MATCH($N$1,$C$112:$C$113,0)-1,0)</f>
        <v>746.13668749999999</v>
      </c>
      <c r="G140" s="206"/>
      <c r="H140" s="206"/>
      <c r="I140" s="46"/>
      <c r="J140" s="206"/>
      <c r="K140" s="71" t="s">
        <v>263</v>
      </c>
      <c r="L140" s="72">
        <f t="shared" ca="1" si="2"/>
        <v>742.08118750000006</v>
      </c>
      <c r="M140" s="72">
        <f t="shared" ca="1" si="2"/>
        <v>586.16018750000001</v>
      </c>
      <c r="N140" s="72">
        <f ca="1">E141</f>
        <v>372.27540625</v>
      </c>
      <c r="O140" s="72"/>
    </row>
    <row r="141" spans="1:15" ht="18" customHeight="1">
      <c r="A141" s="167"/>
      <c r="B141" s="35" t="s">
        <v>264</v>
      </c>
      <c r="C141" s="30">
        <f ca="1">742.0811875*OFFSET($L$112,MATCH($N$1,$C$112:$C$113,0)-1,0)</f>
        <v>742.08118750000006</v>
      </c>
      <c r="D141" s="30">
        <f ca="1">586.1601875*OFFSET($L$112,MATCH($N$1,$C$112:$C$113,0)-1,0)</f>
        <v>586.16018750000001</v>
      </c>
      <c r="E141" s="30">
        <f ca="1">372.27540625*OFFSET($L$112,MATCH($N$1,$C$112:$C$113,0)-1,0)</f>
        <v>372.27540625</v>
      </c>
      <c r="F141" s="70">
        <f ca="1">570.351875*OFFSET($L$112,MATCH($N$1,$C$112:$C$113,0)-1,0)</f>
        <v>570.35187499999995</v>
      </c>
      <c r="G141" s="206"/>
      <c r="H141" s="206"/>
      <c r="I141" s="46"/>
      <c r="J141" s="206"/>
      <c r="K141" s="71" t="s">
        <v>265</v>
      </c>
      <c r="L141" s="72">
        <f t="shared" ca="1" si="2"/>
        <v>266.84756249999998</v>
      </c>
      <c r="M141" s="72">
        <f t="shared" ca="1" si="2"/>
        <v>176.7254375</v>
      </c>
      <c r="N141" s="72">
        <f ca="1">E142</f>
        <v>83.154468750000007</v>
      </c>
      <c r="O141" s="72"/>
    </row>
    <row r="142" spans="1:15" ht="18" customHeight="1">
      <c r="A142" s="168"/>
      <c r="B142" s="37" t="s">
        <v>266</v>
      </c>
      <c r="C142" s="38">
        <f ca="1">266.8475625*OFFSET($L$112,MATCH($N$1,$C$112:$C$113,0)-1,0)</f>
        <v>266.84756249999998</v>
      </c>
      <c r="D142" s="38">
        <f ca="1">176.7254375*OFFSET($L$112,MATCH($N$1,$C$112:$C$113,0)-1,0)</f>
        <v>176.7254375</v>
      </c>
      <c r="E142" s="38">
        <f ca="1">83.15446875*OFFSET($L$112,MATCH($N$1,$C$112:$C$113,0)-1,0)</f>
        <v>83.154468750000007</v>
      </c>
      <c r="F142" s="63">
        <f ca="1">175.784828125*OFFSET($L$112,MATCH($N$1,$C$112:$C$113,0)-1,0)</f>
        <v>175.78482812499999</v>
      </c>
      <c r="G142" s="206"/>
      <c r="H142" s="206"/>
      <c r="I142" s="46"/>
      <c r="J142" s="206"/>
      <c r="K142" s="71" t="s">
        <v>267</v>
      </c>
      <c r="L142" s="75">
        <f ca="1">IFERROR(L140/L$139,"")</f>
        <v>0.73551396716566952</v>
      </c>
      <c r="M142" s="75">
        <f t="shared" ref="M142:N143" ca="1" si="3">IFERROR(M140/M$139,"")</f>
        <v>0.76834609054273373</v>
      </c>
      <c r="N142" s="75">
        <f t="shared" ca="1" si="3"/>
        <v>0.81741542811612877</v>
      </c>
      <c r="O142" s="75"/>
    </row>
    <row r="143" spans="1:15" ht="18" customHeight="1">
      <c r="A143" s="206"/>
      <c r="B143" s="206"/>
      <c r="C143" s="206"/>
      <c r="D143" s="206"/>
      <c r="E143" s="206"/>
      <c r="F143" s="206"/>
      <c r="G143" s="206"/>
      <c r="H143" s="206"/>
      <c r="I143" s="46"/>
      <c r="J143" s="206"/>
      <c r="K143" s="71" t="s">
        <v>268</v>
      </c>
      <c r="L143" s="75">
        <f ca="1">IFERROR(L141/L$139,"")</f>
        <v>0.26448603283433042</v>
      </c>
      <c r="M143" s="75">
        <f t="shared" ca="1" si="3"/>
        <v>0.23165390945726627</v>
      </c>
      <c r="N143" s="75">
        <f t="shared" ca="1" si="3"/>
        <v>0.18258457188387128</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9</v>
      </c>
      <c r="B161" s="51"/>
      <c r="C161" s="76" t="s">
        <v>249</v>
      </c>
      <c r="D161" s="76" t="s">
        <v>270</v>
      </c>
      <c r="E161" s="76" t="s">
        <v>251</v>
      </c>
      <c r="F161" s="76" t="s">
        <v>271</v>
      </c>
      <c r="G161" s="77">
        <v>8</v>
      </c>
      <c r="H161" s="76"/>
      <c r="I161" s="76" t="s">
        <v>249</v>
      </c>
      <c r="J161" s="76" t="s">
        <v>270</v>
      </c>
      <c r="K161" s="76" t="s">
        <v>251</v>
      </c>
      <c r="L161" s="51" t="s">
        <v>271</v>
      </c>
      <c r="R161" s="206"/>
      <c r="S161" s="206"/>
    </row>
    <row r="162" spans="1:19" s="46" customFormat="1">
      <c r="A162" s="47">
        <v>1</v>
      </c>
      <c r="B162" s="51" t="s">
        <v>162</v>
      </c>
      <c r="C162" s="51">
        <v>0.26307390472600439</v>
      </c>
      <c r="D162" s="51">
        <v>0.274658489686741</v>
      </c>
      <c r="E162" s="51">
        <v>0.26732296859652416</v>
      </c>
      <c r="F162" s="47">
        <v>553960</v>
      </c>
      <c r="G162" s="47">
        <v>1</v>
      </c>
      <c r="H162" s="51" t="s">
        <v>171</v>
      </c>
      <c r="I162" s="51">
        <v>0.34472406723123078</v>
      </c>
      <c r="J162" s="51">
        <v>0.40287664733857015</v>
      </c>
      <c r="K162" s="51">
        <v>0.26390286770301036</v>
      </c>
      <c r="L162" s="47">
        <v>12153634</v>
      </c>
      <c r="R162" s="206"/>
      <c r="S162" s="206"/>
    </row>
    <row r="163" spans="1:19" s="46" customFormat="1">
      <c r="A163" s="47">
        <v>2</v>
      </c>
      <c r="B163" s="51" t="s">
        <v>168</v>
      </c>
      <c r="C163" s="51">
        <v>0.11391538639863182</v>
      </c>
      <c r="D163" s="51">
        <v>0.13571912900931302</v>
      </c>
      <c r="E163" s="51">
        <v>0.14585621254010042</v>
      </c>
      <c r="F163" s="47">
        <v>1692097</v>
      </c>
      <c r="G163" s="47">
        <v>2</v>
      </c>
      <c r="H163" s="51" t="s">
        <v>162</v>
      </c>
      <c r="I163" s="51">
        <v>0.20244478721000272</v>
      </c>
      <c r="J163" s="51">
        <v>0.19308617858706886</v>
      </c>
      <c r="K163" s="51">
        <v>0.22218715754744975</v>
      </c>
      <c r="L163" s="47">
        <v>553960</v>
      </c>
      <c r="N163" s="46" t="s">
        <v>272</v>
      </c>
      <c r="R163" s="206"/>
      <c r="S163" s="206"/>
    </row>
    <row r="164" spans="1:19" s="46" customFormat="1">
      <c r="A164" s="47">
        <v>3</v>
      </c>
      <c r="B164" s="51" t="s">
        <v>274</v>
      </c>
      <c r="C164" s="51">
        <v>0</v>
      </c>
      <c r="D164" s="51">
        <v>0.12147886168166021</v>
      </c>
      <c r="E164" s="51">
        <v>0</v>
      </c>
      <c r="F164" s="47">
        <v>2480382</v>
      </c>
      <c r="G164" s="47">
        <v>3</v>
      </c>
      <c r="H164" s="51" t="s">
        <v>161</v>
      </c>
      <c r="I164" s="51">
        <v>0.11335408530831013</v>
      </c>
      <c r="J164" s="51">
        <v>9.9839228779467479E-2</v>
      </c>
      <c r="K164" s="51">
        <v>7.7509279076777127E-2</v>
      </c>
      <c r="L164" s="47">
        <v>3050596</v>
      </c>
      <c r="N164" s="46" t="s">
        <v>273</v>
      </c>
      <c r="R164" s="206"/>
      <c r="S164" s="206"/>
    </row>
    <row r="165" spans="1:19" s="46" customFormat="1">
      <c r="A165" s="47">
        <v>4</v>
      </c>
      <c r="B165" s="51" t="s">
        <v>171</v>
      </c>
      <c r="C165" s="51">
        <v>9.7422902797577246E-2</v>
      </c>
      <c r="D165" s="51">
        <v>0.11790736455247212</v>
      </c>
      <c r="E165" s="51">
        <v>7.2278799243531325E-2</v>
      </c>
      <c r="F165" s="47">
        <v>12153634</v>
      </c>
      <c r="G165" s="47">
        <v>4</v>
      </c>
      <c r="H165" s="51" t="s">
        <v>168</v>
      </c>
      <c r="I165" s="51">
        <v>7.7577209924489715E-2</v>
      </c>
      <c r="J165" s="51">
        <v>8.9360706876613627E-2</v>
      </c>
      <c r="K165" s="51">
        <v>9.329813665896379E-2</v>
      </c>
      <c r="L165" s="47">
        <v>1692097</v>
      </c>
      <c r="R165" s="206"/>
      <c r="S165" s="206"/>
    </row>
    <row r="166" spans="1:19" s="46" customFormat="1">
      <c r="A166" s="47">
        <v>5</v>
      </c>
      <c r="B166" s="51" t="s">
        <v>161</v>
      </c>
      <c r="C166" s="51">
        <v>0.14055085694426361</v>
      </c>
      <c r="D166" s="51">
        <v>0.11685782844897454</v>
      </c>
      <c r="E166" s="51">
        <v>8.5180196080323733E-2</v>
      </c>
      <c r="F166" s="47">
        <v>3050596</v>
      </c>
      <c r="G166" s="47">
        <v>5</v>
      </c>
      <c r="H166" s="51" t="s">
        <v>286</v>
      </c>
      <c r="I166" s="51">
        <v>4.5637489517587997E-2</v>
      </c>
      <c r="J166" s="51">
        <v>6.093090322008364E-2</v>
      </c>
      <c r="K166" s="51">
        <v>0</v>
      </c>
      <c r="L166" s="47">
        <v>3689192</v>
      </c>
      <c r="R166" s="206"/>
      <c r="S166" s="206"/>
    </row>
    <row r="167" spans="1:19" s="46" customFormat="1">
      <c r="A167" s="47">
        <v>6</v>
      </c>
      <c r="B167" s="51" t="s">
        <v>172</v>
      </c>
      <c r="C167" s="51">
        <v>0</v>
      </c>
      <c r="D167" s="51">
        <v>0</v>
      </c>
      <c r="E167" s="51">
        <v>0.19437023506908488</v>
      </c>
      <c r="F167" s="47">
        <v>11115023</v>
      </c>
      <c r="G167" s="47">
        <v>6</v>
      </c>
      <c r="H167" s="51" t="s">
        <v>172</v>
      </c>
      <c r="I167" s="51">
        <v>0</v>
      </c>
      <c r="J167" s="51">
        <v>0</v>
      </c>
      <c r="K167" s="51">
        <v>0.13387121262569737</v>
      </c>
      <c r="L167" s="47">
        <v>11115023</v>
      </c>
      <c r="R167" s="206"/>
      <c r="S167" s="206"/>
    </row>
    <row r="168" spans="1:19" s="46" customFormat="1">
      <c r="A168" s="47">
        <v>7</v>
      </c>
      <c r="B168" s="51" t="s">
        <v>535</v>
      </c>
      <c r="C168" s="51">
        <v>6.2496984522389977E-2</v>
      </c>
      <c r="D168" s="51">
        <v>0</v>
      </c>
      <c r="E168" s="51">
        <v>0</v>
      </c>
      <c r="F168" s="47">
        <v>7434864</v>
      </c>
      <c r="G168" s="47">
        <v>7</v>
      </c>
      <c r="H168" s="51" t="s">
        <v>245</v>
      </c>
      <c r="I168" s="51">
        <v>0.21626236080837868</v>
      </c>
      <c r="J168" s="51">
        <v>0.1539063351981963</v>
      </c>
      <c r="K168" s="51">
        <v>0.2092313463881017</v>
      </c>
      <c r="L168" s="47">
        <v>5920853</v>
      </c>
      <c r="R168" s="206"/>
      <c r="S168" s="206"/>
    </row>
    <row r="169" spans="1:19" s="46" customFormat="1">
      <c r="A169" s="47">
        <v>8</v>
      </c>
      <c r="B169" s="51" t="s">
        <v>245</v>
      </c>
      <c r="C169" s="51">
        <v>0.32253996461113299</v>
      </c>
      <c r="D169" s="51">
        <v>0.23337832662083913</v>
      </c>
      <c r="E169" s="51">
        <v>0.23499158847043555</v>
      </c>
      <c r="F169" s="47">
        <v>5920853</v>
      </c>
      <c r="G169" s="47">
        <v>8</v>
      </c>
      <c r="H169" s="51"/>
      <c r="I169" s="51">
        <v>0</v>
      </c>
      <c r="J169" s="51">
        <v>0</v>
      </c>
      <c r="K169" s="51">
        <v>0</v>
      </c>
      <c r="L169" s="47"/>
      <c r="R169" s="206"/>
      <c r="S169" s="206"/>
    </row>
    <row r="170" spans="1:19" s="46" customFormat="1">
      <c r="A170" s="47">
        <v>9</v>
      </c>
      <c r="B170" s="51"/>
      <c r="C170" s="51">
        <v>0</v>
      </c>
      <c r="D170" s="51">
        <v>0</v>
      </c>
      <c r="E170" s="51">
        <v>0</v>
      </c>
      <c r="F170" s="47"/>
      <c r="G170" s="47">
        <v>9</v>
      </c>
      <c r="H170" s="51"/>
      <c r="I170" s="51">
        <v>0</v>
      </c>
      <c r="J170" s="51">
        <v>0</v>
      </c>
      <c r="K170" s="51">
        <v>0</v>
      </c>
      <c r="L170" s="47"/>
      <c r="R170" s="206"/>
      <c r="S170" s="206"/>
    </row>
    <row r="171" spans="1:19" s="46" customFormat="1">
      <c r="A171" s="47">
        <v>10</v>
      </c>
      <c r="B171" s="51"/>
      <c r="C171" s="51">
        <v>0</v>
      </c>
      <c r="D171" s="51">
        <v>0</v>
      </c>
      <c r="E171" s="51">
        <v>0</v>
      </c>
      <c r="F171" s="47"/>
      <c r="G171" s="47">
        <v>10</v>
      </c>
      <c r="H171" s="51"/>
      <c r="I171" s="51">
        <v>0</v>
      </c>
      <c r="J171" s="51">
        <v>0</v>
      </c>
      <c r="K171" s="51">
        <v>0</v>
      </c>
      <c r="L171" s="47"/>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350763BA-F30F-4FE8-90F5-AFEF0097E8BB}">
      <formula1>$C$112:$C$113</formula1>
    </dataValidation>
  </dataValidations>
  <hyperlinks>
    <hyperlink ref="O1:P1" location="Home_page" display="Back to home page" xr:uid="{810E16A9-8F49-4A6E-9050-589BBE60A84A}"/>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9726DC96-F2DA-40F0-B51E-58F6669FE8D7}">
          <x14:colorSeries rgb="FF323232"/>
          <x14:colorNegative rgb="FFD00000"/>
          <x14:colorAxis rgb="FF000000"/>
          <x14:colorMarkers rgb="FFD00000"/>
          <x14:colorFirst rgb="FFD00000"/>
          <x14:colorLast rgb="FFD00000"/>
          <x14:colorHigh rgb="FFD00000"/>
          <x14:colorLow rgb="FFD00000"/>
          <x14:sparklines>
            <x14:sparkline>
              <xm:f>'South West beamers u250kW'!D3:N3</xm:f>
              <xm:sqref>C3</xm:sqref>
            </x14:sparkline>
            <x14:sparkline>
              <xm:f>'South West beamers u250kW'!D4:N4</xm:f>
              <xm:sqref>C4</xm:sqref>
            </x14:sparkline>
            <x14:sparkline>
              <xm:f>'South West beamers u250kW'!D5:N5</xm:f>
              <xm:sqref>C5</xm:sqref>
            </x14:sparkline>
            <x14:sparkline>
              <xm:f>'South West beamers u250kW'!D6:N6</xm:f>
              <xm:sqref>C6</xm:sqref>
            </x14:sparkline>
            <x14:sparkline>
              <xm:f>'South West beamers u250kW'!D7:N7</xm:f>
              <xm:sqref>C7</xm:sqref>
            </x14:sparkline>
            <x14:sparkline>
              <xm:f>'South West beamers u250kW'!D8:N8</xm:f>
              <xm:sqref>C8</xm:sqref>
            </x14:sparkline>
            <x14:sparkline>
              <xm:f>'South West beamers u250kW'!D9:N9</xm:f>
              <xm:sqref>C9</xm:sqref>
            </x14:sparkline>
            <x14:sparkline>
              <xm:f>'South West beamers u250kW'!D10:N10</xm:f>
              <xm:sqref>C10</xm:sqref>
            </x14:sparkline>
            <x14:sparkline>
              <xm:f>'South West beamers u250kW'!D11:N11</xm:f>
              <xm:sqref>C11</xm:sqref>
            </x14:sparkline>
            <x14:sparkline>
              <xm:f>'South West beamers u250kW'!D12:N12</xm:f>
              <xm:sqref>C12</xm:sqref>
            </x14:sparkline>
            <x14:sparkline>
              <xm:f>'South West beamers u250kW'!D13:N13</xm:f>
              <xm:sqref>C13</xm:sqref>
            </x14:sparkline>
            <x14:sparkline>
              <xm:f>'South West beamers u250kW'!D14:N14</xm:f>
              <xm:sqref>C14</xm:sqref>
            </x14:sparkline>
            <x14:sparkline>
              <xm:f>'South West beamers u250kW'!D15:N15</xm:f>
              <xm:sqref>C15</xm:sqref>
            </x14:sparkline>
            <x14:sparkline>
              <xm:f>'South West beamers u250kW'!D16:N16</xm:f>
              <xm:sqref>C16</xm:sqref>
            </x14:sparkline>
            <x14:sparkline>
              <xm:f>'South West beamers u250kW'!D17:N17</xm:f>
              <xm:sqref>C17</xm:sqref>
            </x14:sparkline>
            <x14:sparkline>
              <xm:f>'South West beamers u250kW'!D18:N18</xm:f>
              <xm:sqref>C18</xm:sqref>
            </x14:sparkline>
            <x14:sparkline>
              <xm:f>'South West beamers u250kW'!D19:N19</xm:f>
              <xm:sqref>C19</xm:sqref>
            </x14:sparkline>
            <x14:sparkline>
              <xm:f>'South West beamers u250kW'!D20:N20</xm:f>
              <xm:sqref>C20</xm:sqref>
            </x14:sparkline>
            <x14:sparkline>
              <xm:f>'South West beamers u250kW'!D21:N21</xm:f>
              <xm:sqref>C21</xm:sqref>
            </x14:sparkline>
            <x14:sparkline>
              <xm:f>'South West beamers u250kW'!D22:N22</xm:f>
              <xm:sqref>C22</xm:sqref>
            </x14:sparkline>
            <x14:sparkline>
              <xm:f>'South West beamers u250kW'!D23:N23</xm:f>
              <xm:sqref>C23</xm:sqref>
            </x14:sparkline>
            <x14:sparkline>
              <xm:f>'South West beamers u250kW'!D24:N24</xm:f>
              <xm:sqref>C24</xm:sqref>
            </x14:sparkline>
            <x14:sparkline>
              <xm:f>'South West beamers u250kW'!D25:N25</xm:f>
              <xm:sqref>C25</xm:sqref>
            </x14:sparkline>
            <x14:sparkline>
              <xm:f>'South West beamers u250kW'!D26:N26</xm:f>
              <xm:sqref>C26</xm:sqref>
            </x14:sparkline>
            <x14:sparkline>
              <xm:f>'South West beamers u250kW'!D27:N27</xm:f>
              <xm:sqref>C27</xm:sqref>
            </x14:sparkline>
            <x14:sparkline>
              <xm:f>'South West beamers u250kW'!D28:N28</xm:f>
              <xm:sqref>C28</xm:sqref>
            </x14:sparkline>
            <x14:sparkline>
              <xm:f>'South West beamers u250kW'!D29:N29</xm:f>
              <xm:sqref>C29</xm:sqref>
            </x14:sparkline>
            <x14:sparkline>
              <xm:f>'South West beamers u250kW'!D30:N30</xm:f>
              <xm:sqref>C30</xm:sqref>
            </x14:sparkline>
            <x14:sparkline>
              <xm:f>'South West beamers u250kW'!D31:N31</xm:f>
              <xm:sqref>C31</xm:sqref>
            </x14:sparkline>
            <x14:sparkline>
              <xm:f>'South West beamers u250kW'!D32:N32</xm:f>
              <xm:sqref>C32</xm:sqref>
            </x14:sparkline>
            <x14:sparkline>
              <xm:f>'South West beamers u250kW'!D33:N33</xm:f>
              <xm:sqref>C33</xm:sqref>
            </x14:sparkline>
            <x14:sparkline>
              <xm:f>'South West beamers u250kW'!D34:N34</xm:f>
              <xm:sqref>C34</xm:sqref>
            </x14:sparkline>
            <x14:sparkline>
              <xm:f>'South West beamers u250kW'!D35:N35</xm:f>
              <xm:sqref>C35</xm:sqref>
            </x14:sparkline>
            <x14:sparkline>
              <xm:f>'South West beamers u250kW'!D36:N36</xm:f>
              <xm:sqref>C36</xm:sqref>
            </x14:sparkline>
            <x14:sparkline>
              <xm:f>'South West beamers u250kW'!D37:N37</xm:f>
              <xm:sqref>C37</xm:sqref>
            </x14:sparkline>
            <x14:sparkline>
              <xm:f>'South West beamers u250kW'!D38:N38</xm:f>
              <xm:sqref>C38</xm:sqref>
            </x14:sparkline>
            <x14:sparkline>
              <xm:f>'South West beamers u250kW'!D39:N39</xm:f>
              <xm:sqref>C39</xm:sqref>
            </x14:sparkline>
            <x14:sparkline>
              <xm:f>'South West beamers u250kW'!D40:N40</xm:f>
              <xm:sqref>C40</xm:sqref>
            </x14:sparkline>
            <x14:sparkline>
              <xm:f>'South West beamers u250kW'!D41:N41</xm:f>
              <xm:sqref>C41</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F0671-BF1D-4AF8-B0C8-C0F67143EA99}">
  <sheetPr codeName="Feuil43">
    <pageSetUpPr fitToPage="1"/>
  </sheetPr>
  <dimension ref="A1:C33"/>
  <sheetViews>
    <sheetView workbookViewId="0">
      <selection activeCell="C1" sqref="C1"/>
    </sheetView>
  </sheetViews>
  <sheetFormatPr defaultColWidth="8.75" defaultRowHeight="15"/>
  <cols>
    <col min="1" max="1" width="8.75" style="150"/>
    <col min="2" max="2" width="72.25" style="25" customWidth="1"/>
    <col min="3" max="16384" width="8.75" style="150"/>
  </cols>
  <sheetData>
    <row r="1" spans="1:3" ht="27" customHeight="1" thickBot="1">
      <c r="A1" s="197"/>
      <c r="B1" s="151" t="s">
        <v>73</v>
      </c>
      <c r="C1" s="149" t="s">
        <v>42</v>
      </c>
    </row>
    <row r="2" spans="1:3">
      <c r="A2" s="198"/>
      <c r="B2" s="198"/>
      <c r="C2" s="198"/>
    </row>
    <row r="3" spans="1:3" ht="30.75" customHeight="1">
      <c r="A3" s="199" t="s">
        <v>74</v>
      </c>
      <c r="B3" s="199"/>
      <c r="C3" s="199"/>
    </row>
    <row r="4" spans="1:3">
      <c r="A4" s="200"/>
      <c r="B4" s="200"/>
      <c r="C4" s="200"/>
    </row>
    <row r="5" spans="1:3" ht="30" customHeight="1">
      <c r="A5" s="200"/>
      <c r="B5" s="200"/>
      <c r="C5" s="200"/>
    </row>
    <row r="6" spans="1:3">
      <c r="A6" s="199"/>
      <c r="B6" s="199"/>
      <c r="C6" s="199"/>
    </row>
    <row r="7" spans="1:3" ht="15" customHeight="1">
      <c r="A7" s="201"/>
      <c r="B7" s="201"/>
      <c r="C7" s="201"/>
    </row>
    <row r="8" spans="1:3">
      <c r="A8" s="197"/>
      <c r="B8" s="197"/>
      <c r="C8" s="197"/>
    </row>
    <row r="9" spans="1:3" ht="66.75" customHeight="1">
      <c r="A9" s="197"/>
      <c r="B9" s="197"/>
      <c r="C9" s="197"/>
    </row>
    <row r="10" spans="1:3">
      <c r="A10" s="199"/>
      <c r="B10" s="199"/>
      <c r="C10" s="199"/>
    </row>
    <row r="11" spans="1:3" ht="48.75" customHeight="1">
      <c r="A11" s="199"/>
      <c r="B11" s="199"/>
      <c r="C11" s="199"/>
    </row>
    <row r="12" spans="1:3">
      <c r="A12" s="199"/>
      <c r="B12" s="199"/>
      <c r="C12" s="199"/>
    </row>
    <row r="13" spans="1:3" ht="33" customHeight="1">
      <c r="A13" s="199"/>
      <c r="B13" s="199"/>
      <c r="C13" s="199"/>
    </row>
    <row r="14" spans="1:3">
      <c r="A14" s="198"/>
      <c r="B14" s="198"/>
      <c r="C14" s="198"/>
    </row>
    <row r="15" spans="1:3" ht="15" customHeight="1">
      <c r="A15" s="199"/>
      <c r="B15" s="199"/>
      <c r="C15" s="199"/>
    </row>
    <row r="16" spans="1:3">
      <c r="A16" s="200"/>
      <c r="B16" s="200"/>
      <c r="C16" s="200"/>
    </row>
    <row r="17" spans="1:3" ht="60" customHeight="1">
      <c r="A17" s="198"/>
      <c r="B17" s="198"/>
      <c r="C17" s="198"/>
    </row>
    <row r="18" spans="1:3">
      <c r="A18" s="198"/>
      <c r="B18" s="198"/>
      <c r="C18" s="198"/>
    </row>
    <row r="19" spans="1:3" ht="30" customHeight="1">
      <c r="A19" s="199"/>
      <c r="B19" s="199"/>
      <c r="C19" s="199"/>
    </row>
    <row r="20" spans="1:3">
      <c r="A20" s="197"/>
      <c r="B20" s="197"/>
      <c r="C20" s="197"/>
    </row>
    <row r="21" spans="1:3" ht="43.15" customHeight="1">
      <c r="A21" s="197"/>
      <c r="B21" s="197"/>
      <c r="C21" s="197"/>
    </row>
    <row r="22" spans="1:3">
      <c r="A22" s="197" t="s">
        <v>75</v>
      </c>
      <c r="B22" s="197"/>
      <c r="C22" s="197"/>
    </row>
    <row r="23" spans="1:3" ht="60" customHeight="1">
      <c r="A23" s="197"/>
      <c r="B23" s="197"/>
      <c r="C23" s="197"/>
    </row>
    <row r="24" spans="1:3">
      <c r="A24" s="197"/>
      <c r="B24" s="197"/>
      <c r="C24" s="197"/>
    </row>
    <row r="25" spans="1:3" ht="45" customHeight="1">
      <c r="A25" s="197"/>
      <c r="B25" s="197"/>
      <c r="C25" s="197"/>
    </row>
    <row r="26" spans="1:3">
      <c r="A26" s="198"/>
      <c r="B26" s="198"/>
      <c r="C26" s="198"/>
    </row>
    <row r="27" spans="1:3" ht="34.5" customHeight="1">
      <c r="A27" s="197"/>
      <c r="B27" s="200"/>
      <c r="C27" s="197"/>
    </row>
    <row r="29" spans="1:3" ht="48" customHeight="1">
      <c r="A29" s="197"/>
      <c r="B29" s="200"/>
      <c r="C29" s="197"/>
    </row>
    <row r="31" spans="1:3" ht="18" customHeight="1">
      <c r="A31" s="197"/>
      <c r="B31" s="200"/>
      <c r="C31" s="197"/>
    </row>
    <row r="33" ht="48.75" customHeight="1"/>
  </sheetData>
  <mergeCells count="14">
    <mergeCell ref="A19:C19"/>
    <mergeCell ref="A26:C26"/>
    <mergeCell ref="A12:C12"/>
    <mergeCell ref="A13:C13"/>
    <mergeCell ref="A14:C14"/>
    <mergeCell ref="A15:C15"/>
    <mergeCell ref="A17:C17"/>
    <mergeCell ref="A18:C18"/>
    <mergeCell ref="A11:C11"/>
    <mergeCell ref="A2:C2"/>
    <mergeCell ref="A3:C3"/>
    <mergeCell ref="A6:C6"/>
    <mergeCell ref="A7:C7"/>
    <mergeCell ref="A10:C10"/>
  </mergeCells>
  <hyperlinks>
    <hyperlink ref="C1" location="Home_page" display="Back to_x000a_home page" xr:uid="{3077B8E0-EDFC-4D57-8270-FD781F4E0FF0}"/>
  </hyperlinks>
  <printOptions horizontalCentered="1"/>
  <pageMargins left="0.70866141732283472" right="0.70866141732283472" top="0.74803149606299213" bottom="0.74803149606299213" header="0.31496062992125984" footer="0.31496062992125984"/>
  <pageSetup paperSize="9" scale="86"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3E672-13DF-4453-89F0-3703F0C2383B}">
  <sheetPr codeName="Feuil31">
    <pageSetUpPr fitToPage="1"/>
  </sheetPr>
  <dimension ref="A1:S192"/>
  <sheetViews>
    <sheetView topLeftCell="A40"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33</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81</v>
      </c>
      <c r="E3" s="27">
        <v>80</v>
      </c>
      <c r="F3" s="27">
        <v>87</v>
      </c>
      <c r="G3" s="27">
        <v>96</v>
      </c>
      <c r="H3" s="27">
        <v>97</v>
      </c>
      <c r="I3" s="27">
        <v>92</v>
      </c>
      <c r="J3" s="27">
        <v>91</v>
      </c>
      <c r="K3" s="27">
        <v>88</v>
      </c>
      <c r="L3" s="27">
        <v>81</v>
      </c>
      <c r="M3" s="27">
        <v>76</v>
      </c>
      <c r="N3" s="27">
        <v>70</v>
      </c>
      <c r="O3" s="28">
        <f t="shared" ref="O3:O41" si="0">IF(N3=0,"",IFERROR(IF(AND(N3&gt;0,D3&lt;0),"na",IF(AND(N3&lt;0,D3&lt;0),-1,1)*(N3-D3)/D3),""))</f>
        <v>-0.13580246913580246</v>
      </c>
      <c r="P3" s="28">
        <f t="shared" ref="P3:P41" si="1">IF(N3=0,"",IFERROR(IF(AND(N3&gt;0,J3&lt;0),"na",IF(AND(N3&lt;0,J3&lt;0),-1,1)*(N3-J3)/J3),""))</f>
        <v>-0.23076923076923078</v>
      </c>
      <c r="Q3" s="206"/>
    </row>
    <row r="4" spans="1:17" ht="18" customHeight="1">
      <c r="A4" s="172"/>
      <c r="B4" s="29" t="s">
        <v>184</v>
      </c>
      <c r="C4" s="30"/>
      <c r="D4" s="30">
        <v>33097</v>
      </c>
      <c r="E4" s="30">
        <v>30158</v>
      </c>
      <c r="F4" s="30">
        <v>33757</v>
      </c>
      <c r="G4" s="30">
        <v>37007</v>
      </c>
      <c r="H4" s="30">
        <v>36242</v>
      </c>
      <c r="I4" s="30">
        <v>34642</v>
      </c>
      <c r="J4" s="30">
        <v>33863</v>
      </c>
      <c r="K4" s="30">
        <v>30899</v>
      </c>
      <c r="L4" s="30">
        <v>29081</v>
      </c>
      <c r="M4" s="30">
        <v>28500</v>
      </c>
      <c r="N4" s="30">
        <v>27239</v>
      </c>
      <c r="O4" s="28">
        <f t="shared" si="0"/>
        <v>-0.17699489379702088</v>
      </c>
      <c r="P4" s="28">
        <f t="shared" si="1"/>
        <v>-0.19561172961639547</v>
      </c>
      <c r="Q4" s="206"/>
    </row>
    <row r="5" spans="1:17" ht="18" customHeight="1">
      <c r="A5" s="172"/>
      <c r="B5" s="29" t="s">
        <v>185</v>
      </c>
      <c r="C5" s="30"/>
      <c r="D5" s="30">
        <v>10971</v>
      </c>
      <c r="E5" s="30">
        <v>9327</v>
      </c>
      <c r="F5" s="30">
        <v>10610</v>
      </c>
      <c r="G5" s="30">
        <v>11506</v>
      </c>
      <c r="H5" s="30">
        <v>11427</v>
      </c>
      <c r="I5" s="30">
        <v>10902</v>
      </c>
      <c r="J5" s="30">
        <v>10801</v>
      </c>
      <c r="K5" s="30">
        <v>10236</v>
      </c>
      <c r="L5" s="30">
        <v>9768</v>
      </c>
      <c r="M5" s="30">
        <v>9683</v>
      </c>
      <c r="N5" s="30">
        <v>9496</v>
      </c>
      <c r="O5" s="28">
        <f t="shared" si="0"/>
        <v>-0.134445355938383</v>
      </c>
      <c r="P5" s="28">
        <f t="shared" si="1"/>
        <v>-0.12082214609758356</v>
      </c>
      <c r="Q5" s="207"/>
    </row>
    <row r="6" spans="1:17" ht="18" customHeight="1">
      <c r="A6" s="172"/>
      <c r="B6" s="29" t="s">
        <v>186</v>
      </c>
      <c r="C6" s="30"/>
      <c r="D6" s="30">
        <v>27035.328125</v>
      </c>
      <c r="E6" s="30">
        <v>25168.23828125</v>
      </c>
      <c r="F6" s="30">
        <v>28108.28515625</v>
      </c>
      <c r="G6" s="30">
        <v>30654.8046875</v>
      </c>
      <c r="H6" s="30">
        <v>30213.130859375</v>
      </c>
      <c r="I6" s="30">
        <v>28842.88671875</v>
      </c>
      <c r="J6" s="30">
        <v>28257.287109375</v>
      </c>
      <c r="K6" s="30">
        <v>26277.767578125</v>
      </c>
      <c r="L6" s="30">
        <v>24687.232421875</v>
      </c>
      <c r="M6" s="30">
        <v>24079.888671875</v>
      </c>
      <c r="N6" s="30">
        <v>22970.0078125</v>
      </c>
      <c r="O6" s="28">
        <f t="shared" si="0"/>
        <v>-0.15037066662197207</v>
      </c>
      <c r="P6" s="28">
        <f t="shared" si="1"/>
        <v>-0.18711206339128092</v>
      </c>
      <c r="Q6" s="206"/>
    </row>
    <row r="7" spans="1:17" ht="18" customHeight="1">
      <c r="A7" s="172"/>
      <c r="B7" s="29" t="s">
        <v>187</v>
      </c>
      <c r="C7" s="30"/>
      <c r="D7" s="30">
        <v>34022.45703125</v>
      </c>
      <c r="E7" s="30">
        <v>44938.2734375</v>
      </c>
      <c r="F7" s="30">
        <v>48397.71875</v>
      </c>
      <c r="G7" s="30">
        <v>35850.22265625</v>
      </c>
      <c r="H7" s="30">
        <v>27129.328125</v>
      </c>
      <c r="I7" s="30">
        <v>28151.732421875</v>
      </c>
      <c r="J7" s="30">
        <v>26387.650390625</v>
      </c>
      <c r="K7" s="30">
        <v>20253.9453125</v>
      </c>
      <c r="L7" s="30">
        <v>17611.796875</v>
      </c>
      <c r="M7" s="30">
        <v>18650.982421875</v>
      </c>
      <c r="N7" s="30">
        <v>16820.224609375</v>
      </c>
      <c r="O7" s="28">
        <f t="shared" si="0"/>
        <v>-0.50561405386079439</v>
      </c>
      <c r="P7" s="28">
        <f t="shared" si="1"/>
        <v>-0.3625720986757166</v>
      </c>
      <c r="Q7" s="206"/>
    </row>
    <row r="8" spans="1:17" ht="18" customHeight="1">
      <c r="A8" s="172"/>
      <c r="B8" s="29" t="s">
        <v>188</v>
      </c>
      <c r="C8" s="31"/>
      <c r="D8" s="31">
        <f ca="1">56.124492*OFFSET(D$112,MATCH($N$1,$C$112:$C$113,0)-1,0)</f>
        <v>56.124491999999996</v>
      </c>
      <c r="E8" s="31">
        <f ca="1">54.437032*OFFSET(E$112,MATCH($N$1,$C$112:$C$113,0)-1,0)</f>
        <v>54.437032000000002</v>
      </c>
      <c r="F8" s="31">
        <f ca="1">55.434496*OFFSET(F$112,MATCH($N$1,$C$112:$C$113,0)-1,0)</f>
        <v>55.434496000000003</v>
      </c>
      <c r="G8" s="31">
        <f ca="1">50.182044*OFFSET(G$112,MATCH($N$1,$C$112:$C$113,0)-1,0)</f>
        <v>50.182043999999998</v>
      </c>
      <c r="H8" s="31">
        <f ca="1">46.130736*OFFSET(H$112,MATCH($N$1,$C$112:$C$113,0)-1,0)</f>
        <v>46.130735999999999</v>
      </c>
      <c r="I8" s="31">
        <f ca="1">47.29728*OFFSET(I$112,MATCH($N$1,$C$112:$C$113,0)-1,0)</f>
        <v>47.297280000000001</v>
      </c>
      <c r="J8" s="31">
        <f ca="1">53.37936*OFFSET(J$112,MATCH($N$1,$C$112:$C$113,0)-1,0)</f>
        <v>53.379359999999998</v>
      </c>
      <c r="K8" s="31">
        <f ca="1">48.72284*OFFSET(K$112,MATCH($N$1,$C$112:$C$113,0)-1,0)</f>
        <v>48.722839999999998</v>
      </c>
      <c r="L8" s="31">
        <f ca="1">44.673756*OFFSET(L$112,MATCH($N$1,$C$112:$C$113,0)-1,0)</f>
        <v>44.673755999999997</v>
      </c>
      <c r="M8" s="31">
        <f ca="1">39.841236*OFFSET(M$112,MATCH($N$1,$C$112:$C$113,0)-1,0)</f>
        <v>39.841236000000002</v>
      </c>
      <c r="N8" s="31">
        <v>27.450603999999998</v>
      </c>
      <c r="O8" s="28">
        <f t="shared" ca="1" si="0"/>
        <v>-0.51089795164649332</v>
      </c>
      <c r="P8" s="28">
        <f t="shared" ca="1" si="1"/>
        <v>-0.48574497708477588</v>
      </c>
      <c r="Q8" s="206"/>
    </row>
    <row r="9" spans="1:17" ht="18" customHeight="1">
      <c r="A9" s="172"/>
      <c r="B9" s="29" t="s">
        <v>189</v>
      </c>
      <c r="C9" s="30"/>
      <c r="D9" s="30">
        <v>15151</v>
      </c>
      <c r="E9" s="30">
        <v>13898</v>
      </c>
      <c r="F9" s="30">
        <v>14947</v>
      </c>
      <c r="G9" s="30">
        <v>16124</v>
      </c>
      <c r="H9" s="30">
        <v>16551</v>
      </c>
      <c r="I9" s="30">
        <v>15953</v>
      </c>
      <c r="J9" s="30">
        <v>16691</v>
      </c>
      <c r="K9" s="30">
        <v>15107</v>
      </c>
      <c r="L9" s="30">
        <v>14057</v>
      </c>
      <c r="M9" s="30">
        <v>12935</v>
      </c>
      <c r="N9" s="30">
        <v>9473</v>
      </c>
      <c r="O9" s="28">
        <f t="shared" si="0"/>
        <v>-0.3747607418652234</v>
      </c>
      <c r="P9" s="28">
        <f t="shared" si="1"/>
        <v>-0.43244862500748904</v>
      </c>
      <c r="Q9" s="206"/>
    </row>
    <row r="10" spans="1:17" ht="18" customHeight="1">
      <c r="A10" s="172"/>
      <c r="B10" s="29" t="s">
        <v>190</v>
      </c>
      <c r="C10" s="30"/>
      <c r="D10" s="30">
        <v>607.50042724609375</v>
      </c>
      <c r="E10" s="30">
        <v>676.48846435546875</v>
      </c>
      <c r="F10" s="30">
        <v>693.32598876953125</v>
      </c>
      <c r="G10" s="30">
        <v>456.10943603515625</v>
      </c>
      <c r="H10" s="30">
        <v>466.04769897460938</v>
      </c>
      <c r="I10" s="30">
        <v>587.27154541015625</v>
      </c>
      <c r="J10" s="30">
        <v>587.12359619140625</v>
      </c>
      <c r="K10" s="30">
        <v>381.81759643554688</v>
      </c>
      <c r="L10" s="30">
        <v>333.549072265625</v>
      </c>
      <c r="M10" s="30">
        <v>309.78253173828125</v>
      </c>
      <c r="N10" s="30">
        <v>224.2471923828125</v>
      </c>
      <c r="O10" s="32">
        <f t="shared" si="0"/>
        <v>-0.63086907872745956</v>
      </c>
      <c r="P10" s="32">
        <f t="shared" si="1"/>
        <v>-0.61805794582695261</v>
      </c>
      <c r="Q10" s="206"/>
    </row>
    <row r="11" spans="1:17" ht="18" customHeight="1">
      <c r="A11" s="173" t="s">
        <v>191</v>
      </c>
      <c r="B11" s="33" t="s">
        <v>192</v>
      </c>
      <c r="C11" s="34"/>
      <c r="D11" s="34">
        <v>22.323579788208008</v>
      </c>
      <c r="E11" s="34">
        <v>22.119125366210938</v>
      </c>
      <c r="F11" s="34">
        <v>22.542413711547852</v>
      </c>
      <c r="G11" s="34">
        <v>22.358959197998047</v>
      </c>
      <c r="H11" s="34">
        <v>22.184123992919922</v>
      </c>
      <c r="I11" s="34">
        <v>22.185869216918945</v>
      </c>
      <c r="J11" s="34">
        <v>22.060989379882813</v>
      </c>
      <c r="K11" s="34">
        <v>21.480682373046875</v>
      </c>
      <c r="L11" s="34">
        <v>21.669382095336914</v>
      </c>
      <c r="M11" s="34">
        <v>22.073158264160156</v>
      </c>
      <c r="N11" s="34">
        <v>22.507999420166016</v>
      </c>
      <c r="O11" s="28">
        <f t="shared" si="0"/>
        <v>8.2612033422804279E-3</v>
      </c>
      <c r="P11" s="28">
        <f t="shared" si="1"/>
        <v>2.0262465684826762E-2</v>
      </c>
      <c r="Q11" s="206"/>
    </row>
    <row r="12" spans="1:17" ht="18" customHeight="1">
      <c r="A12" s="174"/>
      <c r="B12" s="35" t="s">
        <v>184</v>
      </c>
      <c r="C12" s="30"/>
      <c r="D12" s="30">
        <v>408.60494995117188</v>
      </c>
      <c r="E12" s="30">
        <v>376.97500610351563</v>
      </c>
      <c r="F12" s="30">
        <v>388.01150512695313</v>
      </c>
      <c r="G12" s="30">
        <v>385.48959350585938</v>
      </c>
      <c r="H12" s="30">
        <v>373.62887573242188</v>
      </c>
      <c r="I12" s="30">
        <v>376.54348754882813</v>
      </c>
      <c r="J12" s="30">
        <v>372.12088012695313</v>
      </c>
      <c r="K12" s="30">
        <v>351.125</v>
      </c>
      <c r="L12" s="30">
        <v>359.02468872070313</v>
      </c>
      <c r="M12" s="30">
        <v>375</v>
      </c>
      <c r="N12" s="30">
        <v>389.12857055664063</v>
      </c>
      <c r="O12" s="28">
        <f t="shared" si="0"/>
        <v>-4.7665549320581334E-2</v>
      </c>
      <c r="P12" s="28">
        <f t="shared" si="1"/>
        <v>4.5704746328357443E-2</v>
      </c>
      <c r="Q12" s="206"/>
    </row>
    <row r="13" spans="1:17" ht="18" customHeight="1">
      <c r="A13" s="174"/>
      <c r="B13" s="35" t="s">
        <v>185</v>
      </c>
      <c r="C13" s="30"/>
      <c r="D13" s="30">
        <v>135.44444274902344</v>
      </c>
      <c r="E13" s="30">
        <v>116.58750152587891</v>
      </c>
      <c r="F13" s="30">
        <v>121.95402526855469</v>
      </c>
      <c r="G13" s="30">
        <v>119.85416412353516</v>
      </c>
      <c r="H13" s="30">
        <v>117.80412292480469</v>
      </c>
      <c r="I13" s="30">
        <v>118.5</v>
      </c>
      <c r="J13" s="30">
        <v>118.69230651855469</v>
      </c>
      <c r="K13" s="30">
        <v>116.31818389892578</v>
      </c>
      <c r="L13" s="30">
        <v>120.59259033203125</v>
      </c>
      <c r="M13" s="30">
        <v>127.40789794921875</v>
      </c>
      <c r="N13" s="30">
        <v>135.65715026855469</v>
      </c>
      <c r="O13" s="28">
        <f t="shared" si="0"/>
        <v>1.5704410990519109E-3</v>
      </c>
      <c r="P13" s="28">
        <f t="shared" si="1"/>
        <v>0.14293128381786022</v>
      </c>
      <c r="Q13" s="206"/>
    </row>
    <row r="14" spans="1:17" ht="18" customHeight="1">
      <c r="A14" s="174"/>
      <c r="B14" s="35" t="s">
        <v>186</v>
      </c>
      <c r="C14" s="30"/>
      <c r="D14" s="30">
        <v>333.76947021484375</v>
      </c>
      <c r="E14" s="30">
        <v>314.60296630859375</v>
      </c>
      <c r="F14" s="30">
        <v>323.083740234375</v>
      </c>
      <c r="G14" s="30">
        <v>319.32089233398438</v>
      </c>
      <c r="H14" s="30">
        <v>311.47555541992188</v>
      </c>
      <c r="I14" s="30">
        <v>313.5096435546875</v>
      </c>
      <c r="J14" s="30">
        <v>310.51962280273438</v>
      </c>
      <c r="K14" s="30">
        <v>298.61099243164063</v>
      </c>
      <c r="L14" s="30">
        <v>304.7806396484375</v>
      </c>
      <c r="M14" s="30">
        <v>316.84063720703125</v>
      </c>
      <c r="N14" s="30">
        <v>328.14297485351563</v>
      </c>
      <c r="O14" s="28">
        <f t="shared" si="0"/>
        <v>-1.6857429643599254E-2</v>
      </c>
      <c r="P14" s="28">
        <f t="shared" si="1"/>
        <v>5.6754390887486489E-2</v>
      </c>
      <c r="Q14" s="206"/>
    </row>
    <row r="15" spans="1:17" ht="18" customHeight="1">
      <c r="A15" s="174"/>
      <c r="B15" s="35" t="s">
        <v>187</v>
      </c>
      <c r="C15" s="31"/>
      <c r="D15" s="31">
        <v>420.03033447265625</v>
      </c>
      <c r="E15" s="31">
        <v>561.7283935546875</v>
      </c>
      <c r="F15" s="31">
        <v>556.295654296875</v>
      </c>
      <c r="G15" s="31">
        <v>373.4398193359375</v>
      </c>
      <c r="H15" s="31">
        <v>279.68380737304688</v>
      </c>
      <c r="I15" s="31">
        <v>305.9970703125</v>
      </c>
      <c r="J15" s="31">
        <v>289.97418212890625</v>
      </c>
      <c r="K15" s="31">
        <v>230.15847778320313</v>
      </c>
      <c r="L15" s="31">
        <v>217.42959594726563</v>
      </c>
      <c r="M15" s="31">
        <v>245.40766906738281</v>
      </c>
      <c r="N15" s="31">
        <v>240.28892517089844</v>
      </c>
      <c r="O15" s="28">
        <f t="shared" si="0"/>
        <v>-0.42792482958979927</v>
      </c>
      <c r="P15" s="28">
        <f t="shared" si="1"/>
        <v>-0.17134372651121241</v>
      </c>
      <c r="Q15" s="206"/>
    </row>
    <row r="16" spans="1:17" ht="18" customHeight="1">
      <c r="A16" s="174"/>
      <c r="B16" s="35" t="s">
        <v>193</v>
      </c>
      <c r="C16" s="31"/>
      <c r="D16" s="31">
        <f ca="1">692.895*OFFSET(D$112,MATCH($N$1,$C$112:$C$113,0)-1,0)</f>
        <v>692.89499999999998</v>
      </c>
      <c r="E16" s="31">
        <f ca="1">680.4629375*OFFSET(E$112,MATCH($N$1,$C$112:$C$113,0)-1,0)</f>
        <v>680.46293749999995</v>
      </c>
      <c r="F16" s="31">
        <f ca="1">637.178125*OFFSET(F$112,MATCH($N$1,$C$112:$C$113,0)-1,0)</f>
        <v>637.17812500000002</v>
      </c>
      <c r="G16" s="31">
        <f ca="1">522.729625*OFFSET(G$112,MATCH($N$1,$C$112:$C$113,0)-1,0)</f>
        <v>522.72962500000006</v>
      </c>
      <c r="H16" s="31">
        <f ca="1">475.57459375*OFFSET(H$112,MATCH($N$1,$C$112:$C$113,0)-1,0)</f>
        <v>475.57459375000002</v>
      </c>
      <c r="I16" s="31">
        <f ca="1">514.10084375*OFFSET(I$112,MATCH($N$1,$C$112:$C$113,0)-1,0)</f>
        <v>514.10084374999997</v>
      </c>
      <c r="J16" s="31">
        <f ca="1">586.586375*OFFSET(J$112,MATCH($N$1,$C$112:$C$113,0)-1,0)</f>
        <v>586.58637499999998</v>
      </c>
      <c r="K16" s="31">
        <f ca="1">553.668625*OFFSET(K$112,MATCH($N$1,$C$112:$C$113,0)-1,0)</f>
        <v>553.66862500000002</v>
      </c>
      <c r="L16" s="31">
        <f ca="1">551.527875*OFFSET(L$112,MATCH($N$1,$C$112:$C$113,0)-1,0)</f>
        <v>551.52787499999999</v>
      </c>
      <c r="M16" s="31">
        <f ca="1">524.22678125*OFFSET(M$112,MATCH($N$1,$C$112:$C$113,0)-1,0)</f>
        <v>524.22678125000004</v>
      </c>
      <c r="N16" s="31">
        <v>392.15146874999999</v>
      </c>
      <c r="O16" s="28">
        <f t="shared" ca="1" si="0"/>
        <v>-0.43403911306907972</v>
      </c>
      <c r="P16" s="28">
        <f t="shared" ca="1" si="1"/>
        <v>-0.33146850069608247</v>
      </c>
      <c r="Q16" s="206"/>
    </row>
    <row r="17" spans="1:16" ht="18" customHeight="1">
      <c r="A17" s="174"/>
      <c r="B17" s="35" t="s">
        <v>189</v>
      </c>
      <c r="C17" s="30"/>
      <c r="D17" s="30">
        <v>187.04937744140625</v>
      </c>
      <c r="E17" s="30">
        <v>173.72500610351563</v>
      </c>
      <c r="F17" s="30">
        <v>171.80459594726563</v>
      </c>
      <c r="G17" s="30">
        <v>167.95832824707031</v>
      </c>
      <c r="H17" s="30">
        <v>170.62886047363281</v>
      </c>
      <c r="I17" s="30">
        <v>173.40217590332031</v>
      </c>
      <c r="J17" s="30">
        <v>183.41758728027344</v>
      </c>
      <c r="K17" s="30">
        <v>171.67045593261719</v>
      </c>
      <c r="L17" s="30">
        <v>173.543212890625</v>
      </c>
      <c r="M17" s="30">
        <v>170.19737243652344</v>
      </c>
      <c r="N17" s="30">
        <v>135.32856750488281</v>
      </c>
      <c r="O17" s="28">
        <f t="shared" si="0"/>
        <v>-0.27650885901892469</v>
      </c>
      <c r="P17" s="28">
        <f t="shared" si="1"/>
        <v>-0.26218325346253529</v>
      </c>
    </row>
    <row r="18" spans="1:16" ht="18" customHeight="1">
      <c r="A18" s="174"/>
      <c r="B18" s="35" t="s">
        <v>194</v>
      </c>
      <c r="C18" s="30"/>
      <c r="D18" s="30">
        <v>31.987653732299805</v>
      </c>
      <c r="E18" s="30">
        <v>33.237499237060547</v>
      </c>
      <c r="F18" s="30">
        <v>34.149425506591797</v>
      </c>
      <c r="G18" s="30">
        <v>34.96875</v>
      </c>
      <c r="H18" s="30">
        <v>35.927833557128906</v>
      </c>
      <c r="I18" s="30">
        <v>36.282608032226563</v>
      </c>
      <c r="J18" s="30">
        <v>36.945053100585938</v>
      </c>
      <c r="K18" s="30">
        <v>37.261363983154297</v>
      </c>
      <c r="L18" s="30">
        <v>36.481479644775391</v>
      </c>
      <c r="M18" s="30">
        <v>36.052631378173828</v>
      </c>
      <c r="N18" s="30">
        <v>36.228572845458984</v>
      </c>
      <c r="O18" s="28">
        <f t="shared" si="0"/>
        <v>0.13257987436811833</v>
      </c>
      <c r="P18" s="28">
        <f t="shared" si="1"/>
        <v>-1.9393131014760673E-2</v>
      </c>
    </row>
    <row r="19" spans="1:16" ht="18" customHeight="1">
      <c r="A19" s="174"/>
      <c r="B19" s="35" t="s">
        <v>195</v>
      </c>
      <c r="C19" s="36"/>
      <c r="D19" s="36">
        <v>2.245558500289917</v>
      </c>
      <c r="E19" s="36">
        <v>3.2334342002868652</v>
      </c>
      <c r="F19" s="36">
        <v>3.2379555702209473</v>
      </c>
      <c r="G19" s="36">
        <v>2.223407506942749</v>
      </c>
      <c r="H19" s="36">
        <v>1.6391353607177734</v>
      </c>
      <c r="I19" s="36">
        <v>1.7646667957305908</v>
      </c>
      <c r="J19" s="36">
        <v>1.5809508562088013</v>
      </c>
      <c r="K19" s="36">
        <v>1.3406994342803955</v>
      </c>
      <c r="L19" s="36">
        <v>1.2528845071792603</v>
      </c>
      <c r="M19" s="36">
        <v>1.4419004917144775</v>
      </c>
      <c r="N19" s="36">
        <v>1.7755964994430542</v>
      </c>
      <c r="O19" s="28">
        <f t="shared" si="0"/>
        <v>-0.2092851291944465</v>
      </c>
      <c r="P19" s="28">
        <f t="shared" si="1"/>
        <v>0.1231193509082394</v>
      </c>
    </row>
    <row r="20" spans="1:16" ht="18" customHeight="1">
      <c r="A20" s="175"/>
      <c r="B20" s="37" t="s">
        <v>196</v>
      </c>
      <c r="C20" s="38"/>
      <c r="D20" s="38">
        <f ca="1">1650*OFFSET(D$112,MATCH($N$1,$C$112:$C$113,0)-1,0)</f>
        <v>1650</v>
      </c>
      <c r="E20" s="38">
        <f ca="1">1211*OFFSET(E$112,MATCH($N$1,$C$112:$C$113,0)-1,0)</f>
        <v>1211</v>
      </c>
      <c r="F20" s="38">
        <f ca="1">1145*OFFSET(F$112,MATCH($N$1,$C$112:$C$113,0)-1,0)</f>
        <v>1145</v>
      </c>
      <c r="G20" s="38">
        <f ca="1">1400*OFFSET(G$112,MATCH($N$1,$C$112:$C$113,0)-1,0)</f>
        <v>1400</v>
      </c>
      <c r="H20" s="38">
        <f ca="1">1700*OFFSET(H$112,MATCH($N$1,$C$112:$C$113,0)-1,0)</f>
        <v>1700</v>
      </c>
      <c r="I20" s="38">
        <f ca="1">1680*OFFSET(I$112,MATCH($N$1,$C$112:$C$113,0)-1,0)</f>
        <v>1680</v>
      </c>
      <c r="J20" s="38">
        <f ca="1">2023*OFFSET(J$112,MATCH($N$1,$C$112:$C$113,0)-1,0)</f>
        <v>2023</v>
      </c>
      <c r="K20" s="38">
        <f ca="1">2406*OFFSET(K$112,MATCH($N$1,$C$112:$C$113,0)-1,0)</f>
        <v>2406</v>
      </c>
      <c r="L20" s="38">
        <f ca="1">2537*OFFSET(L$112,MATCH($N$1,$C$112:$C$113,0)-1,0)</f>
        <v>2537</v>
      </c>
      <c r="M20" s="38">
        <f ca="1">2136*OFFSET(M$112,MATCH($N$1,$C$112:$C$113,0)-1,0)</f>
        <v>2136</v>
      </c>
      <c r="N20" s="38">
        <v>1632</v>
      </c>
      <c r="O20" s="32">
        <f t="shared" ca="1" si="0"/>
        <v>-1.090909090909091E-2</v>
      </c>
      <c r="P20" s="32">
        <f t="shared" ca="1" si="1"/>
        <v>-0.19327731092436976</v>
      </c>
    </row>
    <row r="21" spans="1:16" ht="18" customHeight="1">
      <c r="A21" s="176" t="s">
        <v>197</v>
      </c>
      <c r="B21" s="33" t="s">
        <v>198</v>
      </c>
      <c r="C21" s="39"/>
      <c r="D21" s="39">
        <v>4.9915414349255292</v>
      </c>
      <c r="E21" s="39">
        <v>7.7312373805038961</v>
      </c>
      <c r="F21" s="39">
        <v>7.7030880411259215</v>
      </c>
      <c r="G21" s="39">
        <v>5.2875592330166423</v>
      </c>
      <c r="H21" s="39">
        <v>4.0658175216277659</v>
      </c>
      <c r="I21" s="39">
        <v>4.2058223622219728</v>
      </c>
      <c r="J21" s="39">
        <v>3.8946911967839917</v>
      </c>
      <c r="K21" s="39">
        <v>3.4236551076523414</v>
      </c>
      <c r="L21" s="39">
        <v>3.1714567045723761</v>
      </c>
      <c r="M21" s="39">
        <v>3.5218869500811403</v>
      </c>
      <c r="N21" s="39">
        <v>4.1629387955305193</v>
      </c>
      <c r="O21" s="28">
        <f t="shared" si="0"/>
        <v>-0.16600135453095205</v>
      </c>
      <c r="P21" s="28">
        <f t="shared" si="1"/>
        <v>6.8875190661593602E-2</v>
      </c>
    </row>
    <row r="22" spans="1:16" ht="18" customHeight="1">
      <c r="A22" s="176"/>
      <c r="B22" s="35" t="s">
        <v>199</v>
      </c>
      <c r="C22" s="36"/>
      <c r="D22" s="36">
        <f ca="1">8.23420076765403*OFFSET(D$112,MATCH($N$1,$C$112:$C$113,0)-1,0)</f>
        <v>8.2342007676540305</v>
      </c>
      <c r="E22" s="36">
        <f ca="1">9.36541673664804*OFFSET(E$112,MATCH($N$1,$C$112:$C$113,0)-1,0)</f>
        <v>9.3654167366480401</v>
      </c>
      <c r="F22" s="36">
        <f ca="1">8.82307664430394*OFFSET(F$112,MATCH($N$1,$C$112:$C$113,0)-1,0)</f>
        <v>8.8230766443039403</v>
      </c>
      <c r="G22" s="36">
        <f ca="1">7.40136351810325*OFFSET(G$112,MATCH($N$1,$C$112:$C$113,0)-1,0)</f>
        <v>7.40136351810325</v>
      </c>
      <c r="H22" s="36">
        <f ca="1">6.91351971453496*OFFSET(H$112,MATCH($N$1,$C$112:$C$113,0)-1,0)</f>
        <v>6.9135197145349601</v>
      </c>
      <c r="I22" s="36">
        <f ca="1">7.06613570800782*OFFSET(I$112,MATCH($N$1,$C$112:$C$113,0)-1,0)</f>
        <v>7.0661357080078204</v>
      </c>
      <c r="J22" s="36">
        <f ca="1">7.8785386136561*OFFSET(J$112,MATCH($N$1,$C$112:$C$113,0)-1,0)</f>
        <v>7.8785386136561</v>
      </c>
      <c r="K22" s="36">
        <f ca="1">8.2359356656574*OFFSET(K$112,MATCH($N$1,$C$112:$C$113,0)-1,0)</f>
        <v>8.2359356656574008</v>
      </c>
      <c r="L22" s="36">
        <f ca="1">8.04465817685434*OFFSET(L$112,MATCH($N$1,$C$112:$C$113,0)-1,0)</f>
        <v>8.0446581768543393</v>
      </c>
      <c r="M22" s="36">
        <f ca="1">7.52326716921172*OFFSET(M$112,MATCH($N$1,$C$112:$C$113,0)-1,0)</f>
        <v>7.5232671692117199</v>
      </c>
      <c r="N22" s="36">
        <v>6.7939151245633971</v>
      </c>
      <c r="O22" s="28">
        <f t="shared" ca="1" si="0"/>
        <v>-0.17491505049869932</v>
      </c>
      <c r="P22" s="28">
        <f t="shared" ca="1" si="1"/>
        <v>-0.13766810601304835</v>
      </c>
    </row>
    <row r="23" spans="1:16" ht="18" customHeight="1">
      <c r="A23" s="176"/>
      <c r="B23" s="35" t="s">
        <v>154</v>
      </c>
      <c r="C23" s="36"/>
      <c r="D23" s="36">
        <f ca="1">6.43376941486759*OFFSET(D$112,MATCH($N$1,$C$112:$C$113,0)-1,0)</f>
        <v>6.4337694148675899</v>
      </c>
      <c r="E23" s="36">
        <f ca="1">7.19213966412597*OFFSET(E$112,MATCH($N$1,$C$112:$C$113,0)-1,0)</f>
        <v>7.1921396641259703</v>
      </c>
      <c r="F23" s="36">
        <f ca="1">7.00165875956925*OFFSET(F$112,MATCH($N$1,$C$112:$C$113,0)-1,0)</f>
        <v>7.0016587595692501</v>
      </c>
      <c r="G23" s="36">
        <f ca="1">6.15108363456379*OFFSET(G$112,MATCH($N$1,$C$112:$C$113,0)-1,0)</f>
        <v>6.1510836345637898</v>
      </c>
      <c r="H23" s="36">
        <f ca="1">5.88441489813573*OFFSET(H$112,MATCH($N$1,$C$112:$C$113,0)-1,0)</f>
        <v>5.8844148981357298</v>
      </c>
      <c r="I23" s="36">
        <f ca="1">5.81957825940126*OFFSET(I$112,MATCH($N$1,$C$112:$C$113,0)-1,0)</f>
        <v>5.8195782594012604</v>
      </c>
      <c r="J23" s="36">
        <f ca="1">6.87981708615274*OFFSET(J$112,MATCH($N$1,$C$112:$C$113,0)-1,0)</f>
        <v>6.8798170861527401</v>
      </c>
      <c r="K23" s="36">
        <f ca="1">6.89535169522745*OFFSET(K$112,MATCH($N$1,$C$112:$C$113,0)-1,0)</f>
        <v>6.8953516952274496</v>
      </c>
      <c r="L23" s="36">
        <f ca="1">7.97381424720918*OFFSET(L$112,MATCH($N$1,$C$112:$C$113,0)-1,0)</f>
        <v>7.9738142472091802</v>
      </c>
      <c r="M23" s="36">
        <f ca="1">6.58447232657341*OFFSET(M$112,MATCH($N$1,$C$112:$C$113,0)-1,0)</f>
        <v>6.58447232657341</v>
      </c>
      <c r="N23" s="36">
        <v>6.5413375307886028</v>
      </c>
      <c r="O23" s="28">
        <f t="shared" ca="1" si="0"/>
        <v>1.6719299213993778E-2</v>
      </c>
      <c r="P23" s="28">
        <f t="shared" ca="1" si="1"/>
        <v>-4.9198917809225994E-2</v>
      </c>
    </row>
    <row r="24" spans="1:16" ht="18" customHeight="1">
      <c r="A24" s="176"/>
      <c r="B24" s="35" t="s">
        <v>155</v>
      </c>
      <c r="C24" s="36"/>
      <c r="D24" s="36">
        <f ca="1">2.18007542105198*OFFSET(D$112,MATCH($N$1,$C$112:$C$113,0)-1,0)</f>
        <v>2.1800754210519799</v>
      </c>
      <c r="E24" s="36">
        <f ca="1">2.27473679298295*OFFSET(E$112,MATCH($N$1,$C$112:$C$113,0)-1,0)</f>
        <v>2.2747367929829498</v>
      </c>
      <c r="F24" s="36">
        <f ca="1">1.96756725179728*OFFSET(F$112,MATCH($N$1,$C$112:$C$113,0)-1,0)</f>
        <v>1.96756725179728</v>
      </c>
      <c r="G24" s="36">
        <f ca="1">1.32414373045385*OFFSET(G$112,MATCH($N$1,$C$112:$C$113,0)-1,0)</f>
        <v>1.3241437304538499</v>
      </c>
      <c r="H24" s="36">
        <f ca="1">1.09355240277656*OFFSET(H$112,MATCH($N$1,$C$112:$C$113,0)-1,0)</f>
        <v>1.09355240277656</v>
      </c>
      <c r="I24" s="36">
        <f ca="1">1.36169291125091*OFFSET(I$112,MATCH($N$1,$C$112:$C$113,0)-1,0)</f>
        <v>1.36169291125091</v>
      </c>
      <c r="J24" s="36">
        <f ca="1">1.03403887524903*OFFSET(J$112,MATCH($N$1,$C$112:$C$113,0)-1,0)</f>
        <v>1.0340388752490299</v>
      </c>
      <c r="K24" s="36">
        <f ca="1">1.6594198064782*OFFSET(K$112,MATCH($N$1,$C$112:$C$113,0)-1,0)</f>
        <v>1.6594198064782</v>
      </c>
      <c r="L24" s="36">
        <f ca="1">0.250636519411691*OFFSET(L$112,MATCH($N$1,$C$112:$C$113,0)-1,0)</f>
        <v>0.25063651941169102</v>
      </c>
      <c r="M24" s="36">
        <f ca="1">1.17973079000719*OFFSET(M$112,MATCH($N$1,$C$112:$C$113,0)-1,0)</f>
        <v>1.1797307900071901</v>
      </c>
      <c r="N24" s="36">
        <v>0.6395568606846026</v>
      </c>
      <c r="O24" s="28">
        <f t="shared" ca="1" si="0"/>
        <v>-0.70663544274262358</v>
      </c>
      <c r="P24" s="28">
        <f t="shared" ca="1" si="1"/>
        <v>-0.38149630928471945</v>
      </c>
    </row>
    <row r="25" spans="1:16" ht="18" customHeight="1">
      <c r="A25" s="176"/>
      <c r="B25" s="35" t="s">
        <v>200</v>
      </c>
      <c r="C25" s="31"/>
      <c r="D25" s="31">
        <f ca="1">92.39*OFFSET(D$112,MATCH($N$1,$C$112:$C$113,0)-1,0)</f>
        <v>92.39</v>
      </c>
      <c r="E25" s="31">
        <f ca="1">80.47*OFFSET(E$112,MATCH($N$1,$C$112:$C$113,0)-1,0)</f>
        <v>80.47</v>
      </c>
      <c r="F25" s="31">
        <f ca="1">79.96*OFFSET(F$112,MATCH($N$1,$C$112:$C$113,0)-1,0)</f>
        <v>79.959999999999994</v>
      </c>
      <c r="G25" s="31">
        <f ca="1">110.02*OFFSET(G$112,MATCH($N$1,$C$112:$C$113,0)-1,0)</f>
        <v>110.02</v>
      </c>
      <c r="H25" s="31">
        <f ca="1">98.99*OFFSET(H$112,MATCH($N$1,$C$112:$C$113,0)-1,0)</f>
        <v>98.99</v>
      </c>
      <c r="I25" s="31">
        <f ca="1">80.54*OFFSET(I$112,MATCH($N$1,$C$112:$C$113,0)-1,0)</f>
        <v>80.540000000000006</v>
      </c>
      <c r="J25" s="31">
        <f ca="1">90.92*OFFSET(J$112,MATCH($N$1,$C$112:$C$113,0)-1,0)</f>
        <v>90.92</v>
      </c>
      <c r="K25" s="31">
        <f ca="1">127.61*OFFSET(K$112,MATCH($N$1,$C$112:$C$113,0)-1,0)</f>
        <v>127.61</v>
      </c>
      <c r="L25" s="31">
        <f ca="1">133.93*OFFSET(L$112,MATCH($N$1,$C$112:$C$113,0)-1,0)</f>
        <v>133.93</v>
      </c>
      <c r="M25" s="31">
        <f ca="1">128.6*OFFSET(M$112,MATCH($N$1,$C$112:$C$113,0)-1,0)</f>
        <v>128.6</v>
      </c>
      <c r="N25" s="31">
        <v>122.43</v>
      </c>
      <c r="O25" s="28">
        <f t="shared" ca="1" si="0"/>
        <v>0.32514341378937123</v>
      </c>
      <c r="P25" s="28">
        <f t="shared" ca="1" si="1"/>
        <v>0.34656841179058517</v>
      </c>
    </row>
    <row r="26" spans="1:16" ht="18" customHeight="1">
      <c r="A26" s="177"/>
      <c r="B26" s="35" t="s">
        <v>201</v>
      </c>
      <c r="C26" s="31"/>
      <c r="D26" s="31">
        <f ca="1">24.45*OFFSET(D$112,MATCH($N$1,$C$112:$C$113,0)-1,0)</f>
        <v>24.45</v>
      </c>
      <c r="E26" s="31">
        <f ca="1">19.55*OFFSET(E$112,MATCH($N$1,$C$112:$C$113,0)-1,0)</f>
        <v>19.55</v>
      </c>
      <c r="F26" s="31">
        <f ca="1">17.83*OFFSET(F$112,MATCH($N$1,$C$112:$C$113,0)-1,0)</f>
        <v>17.829999999999998</v>
      </c>
      <c r="G26" s="31">
        <f ca="1">19.68*OFFSET(G$112,MATCH($N$1,$C$112:$C$113,0)-1,0)</f>
        <v>19.68</v>
      </c>
      <c r="H26" s="31">
        <f ca="1">15.65*OFFSET(H$112,MATCH($N$1,$C$112:$C$113,0)-1,0)</f>
        <v>15.65</v>
      </c>
      <c r="I26" s="31">
        <f ca="1">15.52*OFFSET(I$112,MATCH($N$1,$C$112:$C$113,0)-1,0)</f>
        <v>15.52</v>
      </c>
      <c r="J26" s="31">
        <f ca="1">11.93*OFFSET(J$112,MATCH($N$1,$C$112:$C$113,0)-1,0)</f>
        <v>11.93</v>
      </c>
      <c r="K26" s="31">
        <f ca="1">25.72*OFFSET(K$112,MATCH($N$1,$C$112:$C$113,0)-1,0)</f>
        <v>25.72</v>
      </c>
      <c r="L26" s="31">
        <f ca="1">4.18*OFFSET(L$112,MATCH($N$1,$C$112:$C$113,0)-1,0)</f>
        <v>4.18</v>
      </c>
      <c r="M26" s="31">
        <f ca="1">20.17*OFFSET(M$112,MATCH($N$1,$C$112:$C$113,0)-1,0)</f>
        <v>20.170000000000002</v>
      </c>
      <c r="N26" s="31">
        <v>11.52</v>
      </c>
      <c r="O26" s="32">
        <f t="shared" ca="1" si="0"/>
        <v>-0.52883435582822091</v>
      </c>
      <c r="P26" s="32">
        <f t="shared" ca="1" si="1"/>
        <v>-3.4367141659681487E-2</v>
      </c>
    </row>
    <row r="27" spans="1:16" ht="18" customHeight="1">
      <c r="A27" s="166" t="s">
        <v>202</v>
      </c>
      <c r="B27" s="33" t="s">
        <v>193</v>
      </c>
      <c r="C27" s="34"/>
      <c r="D27" s="34">
        <f ca="1">692.9*OFFSET(D$112,MATCH($N$1,$C$112:$C$113,0)-1,0)</f>
        <v>692.9</v>
      </c>
      <c r="E27" s="34">
        <f ca="1">680.5*OFFSET(E$112,MATCH($N$1,$C$112:$C$113,0)-1,0)</f>
        <v>680.5</v>
      </c>
      <c r="F27" s="34">
        <f ca="1">637.2*OFFSET(F$112,MATCH($N$1,$C$112:$C$113,0)-1,0)</f>
        <v>637.20000000000005</v>
      </c>
      <c r="G27" s="34">
        <f ca="1">522.7*OFFSET(G$112,MATCH($N$1,$C$112:$C$113,0)-1,0)</f>
        <v>522.70000000000005</v>
      </c>
      <c r="H27" s="34">
        <f ca="1">475.6*OFFSET(H$112,MATCH($N$1,$C$112:$C$113,0)-1,0)</f>
        <v>475.6</v>
      </c>
      <c r="I27" s="34">
        <f ca="1">514.1*OFFSET(I$112,MATCH($N$1,$C$112:$C$113,0)-1,0)</f>
        <v>514.1</v>
      </c>
      <c r="J27" s="34">
        <f ca="1">586.6*OFFSET(J$112,MATCH($N$1,$C$112:$C$113,0)-1,0)</f>
        <v>586.6</v>
      </c>
      <c r="K27" s="34">
        <f ca="1">553.7*OFFSET(K$112,MATCH($N$1,$C$112:$C$113,0)-1,0)</f>
        <v>553.70000000000005</v>
      </c>
      <c r="L27" s="34">
        <f ca="1">551.5*OFFSET(L$112,MATCH($N$1,$C$112:$C$113,0)-1,0)</f>
        <v>551.5</v>
      </c>
      <c r="M27" s="34">
        <f ca="1">524.2*OFFSET(M$112,MATCH($N$1,$C$112:$C$113,0)-1,0)</f>
        <v>524.20000000000005</v>
      </c>
      <c r="N27" s="34">
        <v>392.2</v>
      </c>
      <c r="O27" s="28">
        <f t="shared" ca="1" si="0"/>
        <v>-0.43397315629961031</v>
      </c>
      <c r="P27" s="28">
        <f t="shared" ca="1" si="1"/>
        <v>-0.33140129560177295</v>
      </c>
    </row>
    <row r="28" spans="1:16" ht="18" customHeight="1">
      <c r="A28" s="178"/>
      <c r="B28" s="35" t="s">
        <v>203</v>
      </c>
      <c r="C28" s="31"/>
      <c r="D28" s="31">
        <f ca="1">31.9*OFFSET(D$112,MATCH($N$1,$C$112:$C$113,0)-1,0)</f>
        <v>31.9</v>
      </c>
      <c r="E28" s="31">
        <f ca="1">7.4*OFFSET(E$112,MATCH($N$1,$C$112:$C$113,0)-1,0)</f>
        <v>7.4</v>
      </c>
      <c r="F28" s="31">
        <f ca="1">10.6*OFFSET(F$112,MATCH($N$1,$C$112:$C$113,0)-1,0)</f>
        <v>10.6</v>
      </c>
      <c r="G28" s="31">
        <f ca="1">5.2*OFFSET(G$112,MATCH($N$1,$C$112:$C$113,0)-1,0)</f>
        <v>5.2</v>
      </c>
      <c r="H28" s="31">
        <f ca="1">4.4*OFFSET(H$112,MATCH($N$1,$C$112:$C$113,0)-1,0)</f>
        <v>4.4000000000000004</v>
      </c>
      <c r="I28" s="31">
        <f ca="1">8.4*OFFSET(I$112,MATCH($N$1,$C$112:$C$113,0)-1,0)</f>
        <v>8.4</v>
      </c>
      <c r="J28" s="31">
        <f ca="1">2.6*OFFSET(J$112,MATCH($N$1,$C$112:$C$113,0)-1,0)</f>
        <v>2.6</v>
      </c>
      <c r="K28" s="31">
        <f ca="1">21.4*OFFSET(K$112,MATCH($N$1,$C$112:$C$113,0)-1,0)</f>
        <v>21.4</v>
      </c>
      <c r="L28" s="31">
        <f ca="1">12.3*OFFSET(L$112,MATCH($N$1,$C$112:$C$113,0)-1,0)</f>
        <v>12.3</v>
      </c>
      <c r="M28" s="31">
        <f ca="1">16.8*OFFSET(M$112,MATCH($N$1,$C$112:$C$113,0)-1,0)</f>
        <v>16.8</v>
      </c>
      <c r="N28" s="31">
        <v>22.3</v>
      </c>
      <c r="O28" s="28">
        <f t="shared" ca="1" si="0"/>
        <v>-0.30094043887147331</v>
      </c>
      <c r="P28" s="28">
        <f t="shared" ca="1" si="1"/>
        <v>7.5769230769230766</v>
      </c>
    </row>
    <row r="29" spans="1:16" ht="18" customHeight="1">
      <c r="A29" s="178"/>
      <c r="B29" s="40" t="s">
        <v>204</v>
      </c>
      <c r="C29" s="41"/>
      <c r="D29" s="41">
        <f ca="1">724.8*OFFSET(D$112,MATCH($N$1,$C$112:$C$113,0)-1,0)</f>
        <v>724.8</v>
      </c>
      <c r="E29" s="41">
        <f ca="1">687.8*OFFSET(E$112,MATCH($N$1,$C$112:$C$113,0)-1,0)</f>
        <v>687.8</v>
      </c>
      <c r="F29" s="41">
        <f ca="1">647.7*OFFSET(F$112,MATCH($N$1,$C$112:$C$113,0)-1,0)</f>
        <v>647.70000000000005</v>
      </c>
      <c r="G29" s="41">
        <f ca="1">527.9*OFFSET(G$112,MATCH($N$1,$C$112:$C$113,0)-1,0)</f>
        <v>527.9</v>
      </c>
      <c r="H29" s="41">
        <f ca="1">480*OFFSET(H$112,MATCH($N$1,$C$112:$C$113,0)-1,0)</f>
        <v>480</v>
      </c>
      <c r="I29" s="41">
        <f ca="1">522.5*OFFSET(I$112,MATCH($N$1,$C$112:$C$113,0)-1,0)</f>
        <v>522.5</v>
      </c>
      <c r="J29" s="41">
        <f ca="1">589.2*OFFSET(J$112,MATCH($N$1,$C$112:$C$113,0)-1,0)</f>
        <v>589.20000000000005</v>
      </c>
      <c r="K29" s="41">
        <f ca="1">575.1*OFFSET(K$112,MATCH($N$1,$C$112:$C$113,0)-1,0)</f>
        <v>575.1</v>
      </c>
      <c r="L29" s="41">
        <f ca="1">563.9*OFFSET(L$112,MATCH($N$1,$C$112:$C$113,0)-1,0)</f>
        <v>563.9</v>
      </c>
      <c r="M29" s="41">
        <f ca="1">541*OFFSET(M$112,MATCH($N$1,$C$112:$C$113,0)-1,0)</f>
        <v>541</v>
      </c>
      <c r="N29" s="41">
        <v>414.5</v>
      </c>
      <c r="O29" s="28">
        <f t="shared" ca="1" si="0"/>
        <v>-0.42811810154525382</v>
      </c>
      <c r="P29" s="28">
        <f t="shared" ca="1" si="1"/>
        <v>-0.29650373387644269</v>
      </c>
    </row>
    <row r="30" spans="1:16" ht="18" customHeight="1">
      <c r="A30" s="178"/>
      <c r="B30" s="35" t="s">
        <v>205</v>
      </c>
      <c r="C30" s="31"/>
      <c r="D30" s="31">
        <f ca="1">105.9*OFFSET(D$112,MATCH($N$1,$C$112:$C$113,0)-1,0)</f>
        <v>105.9</v>
      </c>
      <c r="E30" s="31">
        <f ca="1">126.8*OFFSET(E$112,MATCH($N$1,$C$112:$C$113,0)-1,0)</f>
        <v>126.8</v>
      </c>
      <c r="F30" s="31">
        <f ca="1">127.5*OFFSET(F$112,MATCH($N$1,$C$112:$C$113,0)-1,0)</f>
        <v>127.5</v>
      </c>
      <c r="G30" s="31">
        <f ca="1">118.3*OFFSET(G$112,MATCH($N$1,$C$112:$C$113,0)-1,0)</f>
        <v>118.3</v>
      </c>
      <c r="H30" s="31">
        <f ca="1">106.5*OFFSET(H$112,MATCH($N$1,$C$112:$C$113,0)-1,0)</f>
        <v>106.5</v>
      </c>
      <c r="I30" s="31">
        <f ca="1">77.5*OFFSET(I$112,MATCH($N$1,$C$112:$C$113,0)-1,0)</f>
        <v>77.5</v>
      </c>
      <c r="J30" s="31">
        <f ca="1">75.3*OFFSET(J$112,MATCH($N$1,$C$112:$C$113,0)-1,0)</f>
        <v>75.3</v>
      </c>
      <c r="K30" s="31">
        <f ca="1">85*OFFSET(K$112,MATCH($N$1,$C$112:$C$113,0)-1,0)</f>
        <v>85</v>
      </c>
      <c r="L30" s="31">
        <f ca="1">102.3*OFFSET(L$112,MATCH($N$1,$C$112:$C$113,0)-1,0)</f>
        <v>102.3</v>
      </c>
      <c r="M30" s="31">
        <f ca="1">98.4*OFFSET(M$112,MATCH($N$1,$C$112:$C$113,0)-1,0)</f>
        <v>98.4</v>
      </c>
      <c r="N30" s="31">
        <v>60.2</v>
      </c>
      <c r="O30" s="28">
        <f t="shared" ca="1" si="0"/>
        <v>-0.43153918791312562</v>
      </c>
      <c r="P30" s="28">
        <f t="shared" ca="1" si="1"/>
        <v>-0.20053120849933592</v>
      </c>
    </row>
    <row r="31" spans="1:16" ht="18" customHeight="1">
      <c r="A31" s="178"/>
      <c r="B31" s="35" t="s">
        <v>206</v>
      </c>
      <c r="C31" s="31"/>
      <c r="D31" s="31">
        <f ca="1">197.7*OFFSET(D$112,MATCH($N$1,$C$112:$C$113,0)-1,0)</f>
        <v>197.7</v>
      </c>
      <c r="E31" s="31">
        <f ca="1">198.5*OFFSET(E$112,MATCH($N$1,$C$112:$C$113,0)-1,0)</f>
        <v>198.5</v>
      </c>
      <c r="F31" s="31">
        <f ca="1">157.3*OFFSET(F$112,MATCH($N$1,$C$112:$C$113,0)-1,0)</f>
        <v>157.30000000000001</v>
      </c>
      <c r="G31" s="31">
        <f ca="1">126.4*OFFSET(G$112,MATCH($N$1,$C$112:$C$113,0)-1,0)</f>
        <v>126.4</v>
      </c>
      <c r="H31" s="31">
        <f ca="1">114.9*OFFSET(H$112,MATCH($N$1,$C$112:$C$113,0)-1,0)</f>
        <v>114.9</v>
      </c>
      <c r="I31" s="31">
        <f ca="1">149.7*OFFSET(I$112,MATCH($N$1,$C$112:$C$113,0)-1,0)</f>
        <v>149.69999999999999</v>
      </c>
      <c r="J31" s="31">
        <f ca="1">177.8*OFFSET(J$112,MATCH($N$1,$C$112:$C$113,0)-1,0)</f>
        <v>177.8</v>
      </c>
      <c r="K31" s="31">
        <f ca="1">177.8*OFFSET(K$112,MATCH($N$1,$C$112:$C$113,0)-1,0)</f>
        <v>177.8</v>
      </c>
      <c r="L31" s="31">
        <f ca="1">163.2*OFFSET(L$112,MATCH($N$1,$C$112:$C$113,0)-1,0)</f>
        <v>163.19999999999999</v>
      </c>
      <c r="M31" s="31">
        <f ca="1">153*OFFSET(M$112,MATCH($N$1,$C$112:$C$113,0)-1,0)</f>
        <v>153</v>
      </c>
      <c r="N31" s="31">
        <v>120.10000000000001</v>
      </c>
      <c r="O31" s="28">
        <f t="shared" ca="1" si="0"/>
        <v>-0.39251390996459273</v>
      </c>
      <c r="P31" s="28">
        <f t="shared" ca="1" si="1"/>
        <v>-0.32452193475815522</v>
      </c>
    </row>
    <row r="32" spans="1:16" ht="18" customHeight="1">
      <c r="A32" s="178"/>
      <c r="B32" s="35" t="s">
        <v>207</v>
      </c>
      <c r="C32" s="31"/>
      <c r="D32" s="31">
        <f ca="1">54*OFFSET(D$112,MATCH($N$1,$C$112:$C$113,0)-1,0)</f>
        <v>54</v>
      </c>
      <c r="E32" s="31">
        <f ca="1">52.6*OFFSET(E$112,MATCH($N$1,$C$112:$C$113,0)-1,0)</f>
        <v>52.6</v>
      </c>
      <c r="F32" s="31">
        <f ca="1">52.5*OFFSET(F$112,MATCH($N$1,$C$112:$C$113,0)-1,0)</f>
        <v>52.5</v>
      </c>
      <c r="G32" s="31">
        <f ca="1">47.3*OFFSET(G$112,MATCH($N$1,$C$112:$C$113,0)-1,0)</f>
        <v>47.3</v>
      </c>
      <c r="H32" s="31">
        <f ca="1">48.5*OFFSET(H$112,MATCH($N$1,$C$112:$C$113,0)-1,0)</f>
        <v>48.5</v>
      </c>
      <c r="I32" s="31">
        <f ca="1">41.9*OFFSET(I$112,MATCH($N$1,$C$112:$C$113,0)-1,0)</f>
        <v>41.9</v>
      </c>
      <c r="J32" s="31">
        <f ca="1">66.2*OFFSET(J$112,MATCH($N$1,$C$112:$C$113,0)-1,0)</f>
        <v>66.2</v>
      </c>
      <c r="K32" s="31">
        <f ca="1">47*OFFSET(K$112,MATCH($N$1,$C$112:$C$113,0)-1,0)</f>
        <v>47</v>
      </c>
      <c r="L32" s="31">
        <f ca="1">119.1*OFFSET(L$112,MATCH($N$1,$C$112:$C$113,0)-1,0)</f>
        <v>119.1</v>
      </c>
      <c r="M32" s="31">
        <f ca="1">63.9*OFFSET(M$112,MATCH($N$1,$C$112:$C$113,0)-1,0)</f>
        <v>63.9</v>
      </c>
      <c r="N32" s="31">
        <v>47.800000000000004</v>
      </c>
      <c r="O32" s="28">
        <f t="shared" ca="1" si="0"/>
        <v>-0.11481481481481473</v>
      </c>
      <c r="P32" s="28">
        <f t="shared" ca="1" si="1"/>
        <v>-0.27794561933534739</v>
      </c>
    </row>
    <row r="33" spans="1:16" ht="18" customHeight="1">
      <c r="A33" s="178"/>
      <c r="B33" s="35" t="s">
        <v>208</v>
      </c>
      <c r="C33" s="31"/>
      <c r="D33" s="31">
        <f ca="1">357.6*OFFSET(D$112,MATCH($N$1,$C$112:$C$113,0)-1,0)</f>
        <v>357.6</v>
      </c>
      <c r="E33" s="31">
        <f ca="1">377.9*OFFSET(E$112,MATCH($N$1,$C$112:$C$113,0)-1,0)</f>
        <v>377.9</v>
      </c>
      <c r="F33" s="31">
        <f ca="1">337.3*OFFSET(F$112,MATCH($N$1,$C$112:$C$113,0)-1,0)</f>
        <v>337.3</v>
      </c>
      <c r="G33" s="31">
        <f ca="1">292*OFFSET(G$112,MATCH($N$1,$C$112:$C$113,0)-1,0)</f>
        <v>292</v>
      </c>
      <c r="H33" s="31">
        <f ca="1">269.8*OFFSET(H$112,MATCH($N$1,$C$112:$C$113,0)-1,0)</f>
        <v>269.8</v>
      </c>
      <c r="I33" s="31">
        <f ca="1">269.1*OFFSET(I$112,MATCH($N$1,$C$112:$C$113,0)-1,0)</f>
        <v>269.10000000000002</v>
      </c>
      <c r="J33" s="31">
        <f ca="1">319.4*OFFSET(J$112,MATCH($N$1,$C$112:$C$113,0)-1,0)</f>
        <v>319.39999999999998</v>
      </c>
      <c r="K33" s="31">
        <f ca="1">309.9*OFFSET(K$112,MATCH($N$1,$C$112:$C$113,0)-1,0)</f>
        <v>309.89999999999998</v>
      </c>
      <c r="L33" s="31">
        <f ca="1">384.6*OFFSET(L$112,MATCH($N$1,$C$112:$C$113,0)-1,0)</f>
        <v>384.6</v>
      </c>
      <c r="M33" s="31">
        <f ca="1">315.3*OFFSET(M$112,MATCH($N$1,$C$112:$C$113,0)-1,0)</f>
        <v>315.3</v>
      </c>
      <c r="N33" s="31">
        <v>228.1</v>
      </c>
      <c r="O33" s="28">
        <f t="shared" ca="1" si="0"/>
        <v>-0.36213646532438487</v>
      </c>
      <c r="P33" s="28">
        <f t="shared" ca="1" si="1"/>
        <v>-0.28584846587351281</v>
      </c>
    </row>
    <row r="34" spans="1:16" ht="18" customHeight="1">
      <c r="A34" s="178"/>
      <c r="B34" s="35" t="s">
        <v>209</v>
      </c>
      <c r="C34" s="31"/>
      <c r="D34" s="31">
        <f ca="1">183.8*OFFSET(D$112,MATCH($N$1,$C$112:$C$113,0)-1,0)</f>
        <v>183.8</v>
      </c>
      <c r="E34" s="31">
        <f ca="1">144.7*OFFSET(E$112,MATCH($N$1,$C$112:$C$113,0)-1,0)</f>
        <v>144.69999999999999</v>
      </c>
      <c r="F34" s="31">
        <f ca="1">168.3*OFFSET(F$112,MATCH($N$1,$C$112:$C$113,0)-1,0)</f>
        <v>168.3</v>
      </c>
      <c r="G34" s="31">
        <f ca="1">142.5*OFFSET(G$112,MATCH($N$1,$C$112:$C$113,0)-1,0)</f>
        <v>142.5</v>
      </c>
      <c r="H34" s="31">
        <f ca="1">134.9*OFFSET(H$112,MATCH($N$1,$C$112:$C$113,0)-1,0)</f>
        <v>134.9</v>
      </c>
      <c r="I34" s="31">
        <f ca="1">154.3*OFFSET(I$112,MATCH($N$1,$C$112:$C$113,0)-1,0)</f>
        <v>154.30000000000001</v>
      </c>
      <c r="J34" s="31">
        <f ca="1">192.9*OFFSET(J$112,MATCH($N$1,$C$112:$C$113,0)-1,0)</f>
        <v>192.9</v>
      </c>
      <c r="K34" s="31">
        <f ca="1">153.7*OFFSET(K$112,MATCH($N$1,$C$112:$C$113,0)-1,0)</f>
        <v>153.69999999999999</v>
      </c>
      <c r="L34" s="31">
        <f ca="1">162.1*OFFSET(L$112,MATCH($N$1,$C$112:$C$113,0)-1,0)</f>
        <v>162.1</v>
      </c>
      <c r="M34" s="31">
        <f ca="1">143.5*OFFSET(M$112,MATCH($N$1,$C$112:$C$113,0)-1,0)</f>
        <v>143.5</v>
      </c>
      <c r="N34" s="31">
        <v>149.5</v>
      </c>
      <c r="O34" s="28">
        <f t="shared" ca="1" si="0"/>
        <v>-0.18661588683351474</v>
      </c>
      <c r="P34" s="28">
        <f t="shared" ca="1" si="1"/>
        <v>-0.22498703991705549</v>
      </c>
    </row>
    <row r="35" spans="1:16" ht="18" customHeight="1">
      <c r="A35" s="178"/>
      <c r="B35" s="35" t="s">
        <v>210</v>
      </c>
      <c r="C35" s="31"/>
      <c r="D35" s="31">
        <f ca="1">541.4*OFFSET(D$112,MATCH($N$1,$C$112:$C$113,0)-1,0)</f>
        <v>541.4</v>
      </c>
      <c r="E35" s="31">
        <f ca="1">522.6*OFFSET(E$112,MATCH($N$1,$C$112:$C$113,0)-1,0)</f>
        <v>522.6</v>
      </c>
      <c r="F35" s="31">
        <f ca="1">505.6*OFFSET(F$112,MATCH($N$1,$C$112:$C$113,0)-1,0)</f>
        <v>505.6</v>
      </c>
      <c r="G35" s="31">
        <f ca="1">434.4*OFFSET(G$112,MATCH($N$1,$C$112:$C$113,0)-1,0)</f>
        <v>434.4</v>
      </c>
      <c r="H35" s="31">
        <f ca="1">404.8*OFFSET(H$112,MATCH($N$1,$C$112:$C$113,0)-1,0)</f>
        <v>404.8</v>
      </c>
      <c r="I35" s="31">
        <f ca="1">423.4*OFFSET(I$112,MATCH($N$1,$C$112:$C$113,0)-1,0)</f>
        <v>423.4</v>
      </c>
      <c r="J35" s="31">
        <f ca="1">512.2*OFFSET(J$112,MATCH($N$1,$C$112:$C$113,0)-1,0)</f>
        <v>512.20000000000005</v>
      </c>
      <c r="K35" s="31">
        <f ca="1">463.5*OFFSET(K$112,MATCH($N$1,$C$112:$C$113,0)-1,0)</f>
        <v>463.5</v>
      </c>
      <c r="L35" s="31">
        <f ca="1">546.7*OFFSET(L$112,MATCH($N$1,$C$112:$C$113,0)-1,0)</f>
        <v>546.70000000000005</v>
      </c>
      <c r="M35" s="31">
        <f ca="1">458.8*OFFSET(M$112,MATCH($N$1,$C$112:$C$113,0)-1,0)</f>
        <v>458.8</v>
      </c>
      <c r="N35" s="31">
        <v>377.6</v>
      </c>
      <c r="O35" s="28">
        <f t="shared" ca="1" si="0"/>
        <v>-0.30254894717399328</v>
      </c>
      <c r="P35" s="28">
        <f t="shared" ca="1" si="1"/>
        <v>-0.26278797344787197</v>
      </c>
    </row>
    <row r="36" spans="1:16" ht="18" customHeight="1">
      <c r="A36" s="178"/>
      <c r="B36" s="40" t="s">
        <v>211</v>
      </c>
      <c r="C36" s="41"/>
      <c r="D36" s="41">
        <f ca="1">381.1*OFFSET(D$112,MATCH($N$1,$C$112:$C$113,0)-1,0)</f>
        <v>381.1</v>
      </c>
      <c r="E36" s="41">
        <f ca="1">363.8*OFFSET(E$112,MATCH($N$1,$C$112:$C$113,0)-1,0)</f>
        <v>363.8</v>
      </c>
      <c r="F36" s="41">
        <f ca="1">299.4*OFFSET(F$112,MATCH($N$1,$C$112:$C$113,0)-1,0)</f>
        <v>299.39999999999998</v>
      </c>
      <c r="G36" s="41">
        <f ca="1">219.9*OFFSET(G$112,MATCH($N$1,$C$112:$C$113,0)-1,0)</f>
        <v>219.9</v>
      </c>
      <c r="H36" s="41">
        <f ca="1">190.1*OFFSET(H$112,MATCH($N$1,$C$112:$C$113,0)-1,0)</f>
        <v>190.1</v>
      </c>
      <c r="I36" s="41">
        <f ca="1">248.8*OFFSET(I$112,MATCH($N$1,$C$112:$C$113,0)-1,0)</f>
        <v>248.8</v>
      </c>
      <c r="J36" s="41">
        <f ca="1">254.8*OFFSET(J$112,MATCH($N$1,$C$112:$C$113,0)-1,0)</f>
        <v>254.8</v>
      </c>
      <c r="K36" s="41">
        <f ca="1">289.4*OFFSET(K$112,MATCH($N$1,$C$112:$C$113,0)-1,0)</f>
        <v>289.39999999999998</v>
      </c>
      <c r="L36" s="41">
        <f ca="1">180.4*OFFSET(L$112,MATCH($N$1,$C$112:$C$113,0)-1,0)</f>
        <v>180.4</v>
      </c>
      <c r="M36" s="41">
        <f ca="1">235.2*OFFSET(M$112,MATCH($N$1,$C$112:$C$113,0)-1,0)</f>
        <v>235.2</v>
      </c>
      <c r="N36" s="41">
        <v>157</v>
      </c>
      <c r="O36" s="28">
        <f t="shared" ca="1" si="0"/>
        <v>-0.58803463657832589</v>
      </c>
      <c r="P36" s="28">
        <f t="shared" ca="1" si="1"/>
        <v>-0.3838304552590267</v>
      </c>
    </row>
    <row r="37" spans="1:16" ht="18" customHeight="1">
      <c r="A37" s="178"/>
      <c r="B37" s="40" t="s">
        <v>212</v>
      </c>
      <c r="C37" s="41"/>
      <c r="D37" s="41">
        <f ca="1">183.4*OFFSET(D$112,MATCH($N$1,$C$112:$C$113,0)-1,0)</f>
        <v>183.4</v>
      </c>
      <c r="E37" s="41">
        <f ca="1">165.3*OFFSET(E$112,MATCH($N$1,$C$112:$C$113,0)-1,0)</f>
        <v>165.3</v>
      </c>
      <c r="F37" s="41">
        <f ca="1">142.1*OFFSET(F$112,MATCH($N$1,$C$112:$C$113,0)-1,0)</f>
        <v>142.1</v>
      </c>
      <c r="G37" s="41">
        <f ca="1">93.5*OFFSET(G$112,MATCH($N$1,$C$112:$C$113,0)-1,0)</f>
        <v>93.5</v>
      </c>
      <c r="H37" s="41">
        <f ca="1">75.2*OFFSET(H$112,MATCH($N$1,$C$112:$C$113,0)-1,0)</f>
        <v>75.2</v>
      </c>
      <c r="I37" s="41">
        <f ca="1">99.1*OFFSET(I$112,MATCH($N$1,$C$112:$C$113,0)-1,0)</f>
        <v>99.1</v>
      </c>
      <c r="J37" s="41">
        <f ca="1">77*OFFSET(J$112,MATCH($N$1,$C$112:$C$113,0)-1,0)</f>
        <v>77</v>
      </c>
      <c r="K37" s="41">
        <f ca="1">111.6*OFFSET(K$112,MATCH($N$1,$C$112:$C$113,0)-1,0)</f>
        <v>111.6</v>
      </c>
      <c r="L37" s="41">
        <f ca="1">17.2*OFFSET(L$112,MATCH($N$1,$C$112:$C$113,0)-1,0)</f>
        <v>17.2</v>
      </c>
      <c r="M37" s="41">
        <f ca="1">82.2*OFFSET(M$112,MATCH($N$1,$C$112:$C$113,0)-1,0)</f>
        <v>82.2</v>
      </c>
      <c r="N37" s="41">
        <v>36.9</v>
      </c>
      <c r="O37" s="28">
        <f t="shared" ca="1" si="0"/>
        <v>-0.79880043620501628</v>
      </c>
      <c r="P37" s="28">
        <f t="shared" ca="1" si="1"/>
        <v>-0.52077922077922079</v>
      </c>
    </row>
    <row r="38" spans="1:16" ht="18" customHeight="1">
      <c r="A38" s="178"/>
      <c r="B38" s="35" t="s">
        <v>213</v>
      </c>
      <c r="C38" s="31"/>
      <c r="D38" s="31">
        <f ca="1">32.4*OFFSET(D$112,MATCH($N$1,$C$112:$C$113,0)-1,0)</f>
        <v>32.4</v>
      </c>
      <c r="E38" s="31">
        <f ca="1">25.2*OFFSET(E$112,MATCH($N$1,$C$112:$C$113,0)-1,0)</f>
        <v>25.2</v>
      </c>
      <c r="F38" s="31">
        <f ca="1">30.2*OFFSET(F$112,MATCH($N$1,$C$112:$C$113,0)-1,0)</f>
        <v>30.2</v>
      </c>
      <c r="G38" s="31">
        <f ca="1">18.5*OFFSET(G$112,MATCH($N$1,$C$112:$C$113,0)-1,0)</f>
        <v>18.5</v>
      </c>
      <c r="H38" s="31">
        <f ca="1">12.2*OFFSET(H$112,MATCH($N$1,$C$112:$C$113,0)-1,0)</f>
        <v>12.2</v>
      </c>
      <c r="I38" s="31">
        <f ca="1">25.9*OFFSET(I$112,MATCH($N$1,$C$112:$C$113,0)-1,0)</f>
        <v>25.9</v>
      </c>
      <c r="J38" s="31">
        <f ca="1">45.6*OFFSET(J$112,MATCH($N$1,$C$112:$C$113,0)-1,0)</f>
        <v>45.6</v>
      </c>
      <c r="K38" s="31">
        <f ca="1">23.6*OFFSET(K$112,MATCH($N$1,$C$112:$C$113,0)-1,0)</f>
        <v>23.6</v>
      </c>
      <c r="L38" s="31">
        <f ca="1">27*OFFSET(L$112,MATCH($N$1,$C$112:$C$113,0)-1,0)</f>
        <v>27</v>
      </c>
      <c r="M38" s="31">
        <f ca="1">40.5*OFFSET(M$112,MATCH($N$1,$C$112:$C$113,0)-1,0)</f>
        <v>40.5</v>
      </c>
      <c r="N38" s="31"/>
      <c r="O38" s="28" t="str">
        <f t="shared" si="0"/>
        <v/>
      </c>
      <c r="P38" s="28" t="str">
        <f t="shared" si="1"/>
        <v/>
      </c>
    </row>
    <row r="39" spans="1:16" ht="18" customHeight="1">
      <c r="A39" s="178"/>
      <c r="B39" s="35" t="s">
        <v>214</v>
      </c>
      <c r="C39" s="31"/>
      <c r="D39" s="31">
        <f ca="1">3.8*OFFSET(D$112,MATCH($N$1,$C$112:$C$113,0)-1,0)</f>
        <v>3.8</v>
      </c>
      <c r="E39" s="31">
        <f ca="1">3.2*OFFSET(E$112,MATCH($N$1,$C$112:$C$113,0)-1,0)</f>
        <v>3.2</v>
      </c>
      <c r="F39" s="31">
        <f ca="1">5.9*OFFSET(F$112,MATCH($N$1,$C$112:$C$113,0)-1,0)</f>
        <v>5.9</v>
      </c>
      <c r="G39" s="31">
        <f ca="1">3*OFFSET(G$112,MATCH($N$1,$C$112:$C$113,0)-1,0)</f>
        <v>3</v>
      </c>
      <c r="H39" s="31">
        <f ca="1">3.1*OFFSET(H$112,MATCH($N$1,$C$112:$C$113,0)-1,0)</f>
        <v>3.1</v>
      </c>
      <c r="I39" s="31">
        <f ca="1">2.9*OFFSET(I$112,MATCH($N$1,$C$112:$C$113,0)-1,0)</f>
        <v>2.9</v>
      </c>
      <c r="J39" s="31">
        <f ca="1">2*OFFSET(J$112,MATCH($N$1,$C$112:$C$113,0)-1,0)</f>
        <v>2</v>
      </c>
      <c r="K39" s="31">
        <f ca="1">1.5*OFFSET(K$112,MATCH($N$1,$C$112:$C$113,0)-1,0)</f>
        <v>1.5</v>
      </c>
      <c r="L39" s="31">
        <f ca="1">1.8*OFFSET(L$112,MATCH($N$1,$C$112:$C$113,0)-1,0)</f>
        <v>1.8</v>
      </c>
      <c r="M39" s="31">
        <f ca="1">3.5*OFFSET(M$112,MATCH($N$1,$C$112:$C$113,0)-1,0)</f>
        <v>3.5</v>
      </c>
      <c r="N39" s="31"/>
      <c r="O39" s="28" t="str">
        <f t="shared" si="0"/>
        <v/>
      </c>
      <c r="P39" s="28" t="str">
        <f t="shared" si="1"/>
        <v/>
      </c>
    </row>
    <row r="40" spans="1:16" ht="18" customHeight="1">
      <c r="A40" s="178"/>
      <c r="B40" s="35" t="s">
        <v>215</v>
      </c>
      <c r="C40" s="31"/>
      <c r="D40" s="31">
        <f ca="1">1.9*OFFSET(D$112,MATCH($N$1,$C$112:$C$113,0)-1,0)</f>
        <v>1.9</v>
      </c>
      <c r="E40" s="31">
        <f ca="1">2.4*OFFSET(E$112,MATCH($N$1,$C$112:$C$113,0)-1,0)</f>
        <v>2.4</v>
      </c>
      <c r="F40" s="31">
        <f ca="1">1.5*OFFSET(F$112,MATCH($N$1,$C$112:$C$113,0)-1,0)</f>
        <v>1.5</v>
      </c>
      <c r="G40" s="31">
        <f ca="1">1.7*OFFSET(G$112,MATCH($N$1,$C$112:$C$113,0)-1,0)</f>
        <v>1.7</v>
      </c>
      <c r="H40" s="31">
        <f ca="1">4.3*OFFSET(H$112,MATCH($N$1,$C$112:$C$113,0)-1,0)</f>
        <v>4.3</v>
      </c>
      <c r="I40" s="31">
        <f ca="1">1.6*OFFSET(I$112,MATCH($N$1,$C$112:$C$113,0)-1,0)</f>
        <v>1.6</v>
      </c>
      <c r="J40" s="31">
        <f ca="1">0.7*OFFSET(J$112,MATCH($N$1,$C$112:$C$113,0)-1,0)</f>
        <v>0.7</v>
      </c>
      <c r="K40" s="31">
        <f ca="1">1.3*OFFSET(K$112,MATCH($N$1,$C$112:$C$113,0)-1,0)</f>
        <v>1.3</v>
      </c>
      <c r="L40" s="31">
        <f ca="1">1.3*OFFSET(L$112,MATCH($N$1,$C$112:$C$113,0)-1,0)</f>
        <v>1.3</v>
      </c>
      <c r="M40" s="31">
        <f ca="1">3.2*OFFSET(M$112,MATCH($N$1,$C$112:$C$113,0)-1,0)</f>
        <v>3.2</v>
      </c>
      <c r="N40" s="31"/>
      <c r="O40" s="28" t="str">
        <f t="shared" si="0"/>
        <v/>
      </c>
      <c r="P40" s="28" t="str">
        <f t="shared" si="1"/>
        <v/>
      </c>
    </row>
    <row r="41" spans="1:16" ht="18" customHeight="1" thickBot="1">
      <c r="A41" s="179"/>
      <c r="B41" s="42" t="s">
        <v>216</v>
      </c>
      <c r="C41" s="43"/>
      <c r="D41" s="43">
        <f ca="1">145.5*OFFSET(D$112,MATCH($N$1,$C$112:$C$113,0)-1,0)</f>
        <v>145.5</v>
      </c>
      <c r="E41" s="43">
        <f ca="1">134.5*OFFSET(E$112,MATCH($N$1,$C$112:$C$113,0)-1,0)</f>
        <v>134.5</v>
      </c>
      <c r="F41" s="43">
        <f ca="1">104.5*OFFSET(F$112,MATCH($N$1,$C$112:$C$113,0)-1,0)</f>
        <v>104.5</v>
      </c>
      <c r="G41" s="43">
        <f ca="1">70.3*OFFSET(G$112,MATCH($N$1,$C$112:$C$113,0)-1,0)</f>
        <v>70.3</v>
      </c>
      <c r="H41" s="43">
        <f ca="1">55.6*OFFSET(H$112,MATCH($N$1,$C$112:$C$113,0)-1,0)</f>
        <v>55.6</v>
      </c>
      <c r="I41" s="43">
        <f ca="1">68.7*OFFSET(I$112,MATCH($N$1,$C$112:$C$113,0)-1,0)</f>
        <v>68.7</v>
      </c>
      <c r="J41" s="43">
        <f ca="1">28.7*OFFSET(J$112,MATCH($N$1,$C$112:$C$113,0)-1,0)</f>
        <v>28.7</v>
      </c>
      <c r="K41" s="43">
        <f ca="1">85.1*OFFSET(K$112,MATCH($N$1,$C$112:$C$113,0)-1,0)</f>
        <v>85.1</v>
      </c>
      <c r="L41" s="43">
        <f ca="1">-13*OFFSET(L$112,MATCH($N$1,$C$112:$C$113,0)-1,0)</f>
        <v>-13</v>
      </c>
      <c r="M41" s="43">
        <f ca="1">35*OFFSET(M$112,MATCH($N$1,$C$112:$C$113,0)-1,0)</f>
        <v>35</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158</v>
      </c>
      <c r="F46" s="90" t="s">
        <v>163</v>
      </c>
      <c r="G46" s="90" t="s">
        <v>159</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UK scallop dredge over 15m</v>
      </c>
      <c r="B48" s="202"/>
      <c r="C48" s="92"/>
      <c r="D48" s="92"/>
      <c r="E48" s="92"/>
      <c r="F48" s="92"/>
      <c r="G48" s="92"/>
      <c r="H48" s="202"/>
      <c r="I48" s="202"/>
      <c r="J48" s="202"/>
      <c r="K48" s="92" t="str">
        <f>$B24&amp;CHAR(10)&amp;$A$1</f>
        <v>Operating profit per kW day at sea (£)
UK scallop dredge over 15m</v>
      </c>
      <c r="L48" s="202"/>
      <c r="M48" s="202"/>
      <c r="N48" s="202"/>
      <c r="O48" s="202"/>
      <c r="P48" s="202"/>
    </row>
    <row r="49" spans="1:11" s="80" customFormat="1">
      <c r="A49" s="92" t="str">
        <f>$B22&amp;CHAR(10)&amp;$A$1</f>
        <v>Fishing income per kW day at sea (£)
UK scallop dredge over 15m</v>
      </c>
      <c r="B49" s="202"/>
      <c r="C49" s="202"/>
      <c r="D49" s="202"/>
      <c r="E49" s="202"/>
      <c r="F49" s="202"/>
      <c r="G49" s="202"/>
      <c r="H49" s="202"/>
      <c r="I49" s="202"/>
      <c r="J49" s="202"/>
      <c r="K49" s="202"/>
    </row>
    <row r="50" spans="1:11" s="80" customFormat="1">
      <c r="A50" s="92" t="str">
        <f>$B20&amp;CHAR(10)&amp;$A$1</f>
        <v>Average price per tonne landed (£)
UK scallop dredge over 15m</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UK scallop dredge over 15m</v>
      </c>
      <c r="C62" s="202"/>
      <c r="D62" s="202"/>
      <c r="E62" s="202"/>
      <c r="F62" s="92" t="str">
        <f>$B20&amp;CHAR(10)&amp;$A$1</f>
        <v>Average price per tonne landed (£)
UK scallop dredge over 15m</v>
      </c>
      <c r="G62" s="202"/>
      <c r="H62" s="202"/>
      <c r="I62" s="202"/>
      <c r="J62" s="202"/>
      <c r="K62" s="92" t="str">
        <f>"Average annual operating profit per vessel (£'000)"&amp;CHAR(10)&amp;$A$1</f>
        <v>Average annual operating profit per vessel (£'000)
UK scallop dredge over 15m</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UK scallop dredge over 15m</v>
      </c>
      <c r="F76" s="92" t="str">
        <f>"Top 5 landed species by value in "&amp;A77&amp;CHAR(10)&amp;A1</f>
        <v>Top 5 landed species by value in 2019
UK scallop dredge over 15m</v>
      </c>
    </row>
    <row r="77" spans="1:11" s="92" customFormat="1">
      <c r="A77" s="92">
        <v>2019</v>
      </c>
      <c r="B77" s="92" t="s">
        <v>547</v>
      </c>
      <c r="C77" s="93">
        <v>0.81710172983305696</v>
      </c>
      <c r="D77" s="94">
        <v>12153634</v>
      </c>
      <c r="G77" s="92" t="s">
        <v>548</v>
      </c>
      <c r="H77" s="93">
        <v>0.89170108191788555</v>
      </c>
      <c r="I77" s="94">
        <v>12153634</v>
      </c>
      <c r="K77" s="92" t="s">
        <v>230</v>
      </c>
    </row>
    <row r="78" spans="1:11" s="92" customFormat="1">
      <c r="B78" s="92" t="s">
        <v>549</v>
      </c>
      <c r="C78" s="93">
        <v>0.16779705021403132</v>
      </c>
      <c r="D78" s="94">
        <v>553960</v>
      </c>
      <c r="G78" s="92" t="s">
        <v>550</v>
      </c>
      <c r="H78" s="93">
        <v>8.3690945709730749E-2</v>
      </c>
      <c r="I78" s="94">
        <v>553960</v>
      </c>
    </row>
    <row r="79" spans="1:11" s="92" customFormat="1">
      <c r="B79" s="92" t="s">
        <v>551</v>
      </c>
      <c r="C79" s="93">
        <v>4.349685096126911E-3</v>
      </c>
      <c r="D79" s="94">
        <v>3050596</v>
      </c>
      <c r="G79" s="92" t="s">
        <v>552</v>
      </c>
      <c r="H79" s="93">
        <v>5.4782093149951675E-3</v>
      </c>
      <c r="I79" s="94">
        <v>3050596</v>
      </c>
    </row>
    <row r="80" spans="1:11" s="92" customFormat="1">
      <c r="B80" s="92" t="s">
        <v>553</v>
      </c>
      <c r="C80" s="93">
        <v>3.6986203174985649E-3</v>
      </c>
      <c r="D80" s="94">
        <v>3689192</v>
      </c>
      <c r="G80" s="92" t="s">
        <v>554</v>
      </c>
      <c r="H80" s="93">
        <v>5.2357872141143447E-3</v>
      </c>
      <c r="I80" s="94">
        <v>1692097</v>
      </c>
    </row>
    <row r="81" spans="1:19" s="92" customFormat="1">
      <c r="B81" s="92" t="s">
        <v>555</v>
      </c>
      <c r="C81" s="93">
        <v>1.1999635397146264E-3</v>
      </c>
      <c r="D81" s="94">
        <v>1692097</v>
      </c>
      <c r="G81" s="92" t="s">
        <v>556</v>
      </c>
      <c r="H81" s="93">
        <v>4.57361398111628E-3</v>
      </c>
      <c r="I81" s="94">
        <v>3689192</v>
      </c>
    </row>
    <row r="82" spans="1:19" s="92" customFormat="1">
      <c r="B82" s="92" t="s">
        <v>557</v>
      </c>
      <c r="C82" s="93">
        <v>5.8529509995716156E-3</v>
      </c>
      <c r="D82" s="94">
        <v>5920853</v>
      </c>
      <c r="G82" s="92" t="s">
        <v>558</v>
      </c>
      <c r="H82" s="93">
        <v>9.3203618621577888E-3</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172</v>
      </c>
      <c r="D92" s="98">
        <v>0.77887038244899154</v>
      </c>
      <c r="E92" s="98">
        <v>0.77831134522136958</v>
      </c>
      <c r="F92" s="98">
        <v>0.79901777150529618</v>
      </c>
      <c r="G92" s="98">
        <v>0.83114711652369411</v>
      </c>
      <c r="H92" s="98">
        <v>0.79259469551252393</v>
      </c>
      <c r="I92" s="98">
        <v>0.79583931858216594</v>
      </c>
      <c r="J92" s="98">
        <v>0.88438025220765226</v>
      </c>
      <c r="K92" s="98">
        <v>0.91241102815141917</v>
      </c>
      <c r="L92" s="98">
        <v>0.89170108191788555</v>
      </c>
      <c r="M92" s="98">
        <v>0.93274304638251315</v>
      </c>
      <c r="O92" s="92">
        <v>12153634</v>
      </c>
    </row>
    <row r="93" spans="1:19" s="92" customFormat="1" hidden="1">
      <c r="B93" s="92">
        <v>2</v>
      </c>
      <c r="C93" s="92" t="s">
        <v>243</v>
      </c>
      <c r="D93" s="98">
        <v>0.16841706059159342</v>
      </c>
      <c r="E93" s="98">
        <v>0.16274483335884099</v>
      </c>
      <c r="F93" s="98">
        <v>0.14143028998800206</v>
      </c>
      <c r="G93" s="98">
        <v>9.9747224544622481E-2</v>
      </c>
      <c r="H93" s="98">
        <v>0.14612373647606963</v>
      </c>
      <c r="I93" s="98">
        <v>0.14751056521023639</v>
      </c>
      <c r="J93" s="98">
        <v>0.10019471300157902</v>
      </c>
      <c r="K93" s="98">
        <v>7.1585914122192854E-2</v>
      </c>
      <c r="L93" s="98">
        <v>8.3690945709730749E-2</v>
      </c>
      <c r="M93" s="98">
        <v>4.4761738211661933E-2</v>
      </c>
      <c r="O93" s="92">
        <v>553960</v>
      </c>
    </row>
    <row r="94" spans="1:19" s="92" customFormat="1" hidden="1">
      <c r="B94" s="92">
        <v>3</v>
      </c>
      <c r="C94" s="92" t="s">
        <v>160</v>
      </c>
      <c r="D94" s="98"/>
      <c r="E94" s="98"/>
      <c r="F94" s="98"/>
      <c r="G94" s="98"/>
      <c r="H94" s="98">
        <v>9.6434653571174662E-3</v>
      </c>
      <c r="I94" s="98">
        <v>7.1048344791473424E-3</v>
      </c>
      <c r="J94" s="98">
        <v>5.8272916915204582E-3</v>
      </c>
      <c r="K94" s="98">
        <v>5.0503557209503891E-3</v>
      </c>
      <c r="L94" s="98">
        <v>5.4782093149951675E-3</v>
      </c>
      <c r="M94" s="98"/>
      <c r="O94" s="92">
        <v>3050596</v>
      </c>
    </row>
    <row r="95" spans="1:19" s="92" customFormat="1" hidden="1">
      <c r="B95" s="92">
        <v>4</v>
      </c>
      <c r="C95" s="92" t="s">
        <v>286</v>
      </c>
      <c r="D95" s="98"/>
      <c r="E95" s="98"/>
      <c r="F95" s="98">
        <v>8.8085085627958894E-3</v>
      </c>
      <c r="G95" s="98">
        <v>1.1164988204088492E-2</v>
      </c>
      <c r="H95" s="98">
        <v>8.4611288348846059E-3</v>
      </c>
      <c r="I95" s="98">
        <v>5.8931872208221447E-3</v>
      </c>
      <c r="J95" s="98">
        <v>2.8557912690854422E-3</v>
      </c>
      <c r="K95" s="98">
        <v>3.3503510907827586E-3</v>
      </c>
      <c r="L95" s="98">
        <v>5.2357872141143447E-3</v>
      </c>
      <c r="M95" s="98">
        <v>5.6546154458022128E-3</v>
      </c>
      <c r="O95" s="92">
        <v>1692097</v>
      </c>
    </row>
    <row r="96" spans="1:19" s="92" customFormat="1" hidden="1">
      <c r="B96" s="92">
        <v>5</v>
      </c>
      <c r="C96" s="92" t="s">
        <v>161</v>
      </c>
      <c r="D96" s="98">
        <v>1.0297608040775433E-2</v>
      </c>
      <c r="E96" s="98">
        <v>7.0491909517661211E-3</v>
      </c>
      <c r="F96" s="98">
        <v>8.7840802869751169E-3</v>
      </c>
      <c r="G96" s="98"/>
      <c r="H96" s="98"/>
      <c r="I96" s="98"/>
      <c r="J96" s="98">
        <v>1.5777082649002907E-3</v>
      </c>
      <c r="K96" s="98">
        <v>1.967011720073986E-3</v>
      </c>
      <c r="L96" s="98">
        <v>4.57361398111628E-3</v>
      </c>
      <c r="M96" s="98">
        <v>4.9202110680333297E-3</v>
      </c>
      <c r="O96" s="92">
        <v>3689192</v>
      </c>
    </row>
    <row r="97" spans="1:15" s="92" customFormat="1" hidden="1">
      <c r="B97" s="92">
        <v>6</v>
      </c>
      <c r="C97" s="92" t="s">
        <v>171</v>
      </c>
      <c r="D97" s="98">
        <v>9.3447257766989204E-3</v>
      </c>
      <c r="E97" s="98">
        <v>1.267688135358043E-2</v>
      </c>
      <c r="F97" s="98"/>
      <c r="G97" s="98">
        <v>9.0569956140306787E-3</v>
      </c>
      <c r="H97" s="98"/>
      <c r="I97" s="98"/>
      <c r="J97" s="98"/>
      <c r="K97" s="98"/>
      <c r="L97" s="98"/>
      <c r="M97" s="98">
        <v>5.2537653178778869E-3</v>
      </c>
      <c r="O97" s="92">
        <v>11115023</v>
      </c>
    </row>
    <row r="98" spans="1:15" s="92" customFormat="1" hidden="1">
      <c r="B98" s="92">
        <v>7</v>
      </c>
      <c r="C98" s="92" t="s">
        <v>162</v>
      </c>
      <c r="D98" s="98">
        <v>1.0142707429771535E-2</v>
      </c>
      <c r="E98" s="98">
        <v>1.1620925911153528E-2</v>
      </c>
      <c r="F98" s="98">
        <v>9.9812839249130945E-3</v>
      </c>
      <c r="G98" s="98">
        <v>1.1887377220047688E-2</v>
      </c>
      <c r="H98" s="98">
        <v>1.9312969058454935E-2</v>
      </c>
      <c r="I98" s="98">
        <v>2.2118317841380516E-2</v>
      </c>
      <c r="J98" s="98"/>
      <c r="K98" s="98"/>
      <c r="L98" s="98"/>
      <c r="M98" s="98"/>
      <c r="O98" s="92">
        <v>2480382</v>
      </c>
    </row>
    <row r="99" spans="1:15" s="92" customFormat="1" hidden="1">
      <c r="B99" s="92">
        <v>8</v>
      </c>
      <c r="C99" s="92" t="s">
        <v>245</v>
      </c>
      <c r="D99" s="98">
        <v>2.2927515712169198E-2</v>
      </c>
      <c r="E99" s="98">
        <v>2.7596823203289371E-2</v>
      </c>
      <c r="F99" s="98">
        <v>3.1978065732017613E-2</v>
      </c>
      <c r="G99" s="98">
        <v>3.6996297893516515E-2</v>
      </c>
      <c r="H99" s="98">
        <v>2.3864004760949405E-2</v>
      </c>
      <c r="I99" s="98">
        <v>2.1533776666247659E-2</v>
      </c>
      <c r="J99" s="98">
        <v>5.1642435652625614E-3</v>
      </c>
      <c r="K99" s="98">
        <v>5.6353391945808276E-3</v>
      </c>
      <c r="L99" s="98">
        <v>9.3203618621579467E-3</v>
      </c>
      <c r="M99" s="98">
        <v>6.6666235741115205E-3</v>
      </c>
      <c r="O99" s="92">
        <v>5920853</v>
      </c>
    </row>
    <row r="100" spans="1:15" s="92" customFormat="1" hidden="1">
      <c r="B100" s="92">
        <v>9</v>
      </c>
      <c r="D100" s="98"/>
      <c r="E100" s="98"/>
      <c r="F100" s="98"/>
      <c r="G100" s="98"/>
      <c r="H100" s="98"/>
      <c r="I100" s="98"/>
      <c r="J100" s="98"/>
      <c r="K100" s="98"/>
      <c r="L100" s="98"/>
      <c r="M100" s="98"/>
      <c r="O100" s="92">
        <v>8497745</v>
      </c>
    </row>
    <row r="101" spans="1:15" s="92" customFormat="1" hidden="1">
      <c r="B101" s="92">
        <v>10</v>
      </c>
      <c r="D101" s="98"/>
      <c r="E101" s="98"/>
      <c r="F101" s="98"/>
      <c r="G101" s="98"/>
      <c r="H101" s="98"/>
      <c r="I101" s="98"/>
      <c r="J101" s="98"/>
      <c r="K101" s="98"/>
      <c r="L101" s="98"/>
      <c r="M101" s="98"/>
      <c r="O101" s="92">
        <v>14393110</v>
      </c>
    </row>
    <row r="102" spans="1:15" s="92" customFormat="1" hidden="1">
      <c r="B102" s="92">
        <v>11</v>
      </c>
      <c r="D102" s="98"/>
      <c r="E102" s="98"/>
      <c r="F102" s="98"/>
      <c r="G102" s="98"/>
      <c r="H102" s="98"/>
      <c r="I102" s="98"/>
      <c r="J102" s="98"/>
      <c r="K102" s="98"/>
      <c r="L102" s="98"/>
      <c r="M102" s="98"/>
      <c r="O102" s="92">
        <v>2887140</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9</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19</v>
      </c>
      <c r="D120" s="54">
        <v>38</v>
      </c>
      <c r="E120" s="54">
        <v>19</v>
      </c>
      <c r="F120" s="55">
        <v>76</v>
      </c>
    </row>
    <row r="121" spans="1:15" ht="18" customHeight="1">
      <c r="A121" s="173" t="s">
        <v>191</v>
      </c>
      <c r="B121" s="33" t="s">
        <v>192</v>
      </c>
      <c r="C121" s="56">
        <v>28.882631301879883</v>
      </c>
      <c r="D121" s="56">
        <v>20.495526313781738</v>
      </c>
      <c r="E121" s="56">
        <v>18.418947219848633</v>
      </c>
      <c r="F121" s="57">
        <v>22.073158264160156</v>
      </c>
      <c r="G121" s="206"/>
      <c r="H121" s="206"/>
      <c r="I121" s="206"/>
      <c r="J121" s="206"/>
      <c r="K121" s="206"/>
      <c r="L121" s="206"/>
      <c r="M121" s="206"/>
      <c r="N121" s="206"/>
      <c r="O121" s="206"/>
    </row>
    <row r="122" spans="1:15" ht="18" customHeight="1">
      <c r="A122" s="174"/>
      <c r="B122" s="35" t="s">
        <v>184</v>
      </c>
      <c r="C122" s="58">
        <v>541.26318359375</v>
      </c>
      <c r="D122" s="58">
        <v>325.18421936035156</v>
      </c>
      <c r="E122" s="58">
        <v>308.368408203125</v>
      </c>
      <c r="F122" s="59">
        <v>375</v>
      </c>
      <c r="G122" s="206"/>
      <c r="H122" s="206"/>
      <c r="I122" s="206"/>
      <c r="J122" s="206"/>
      <c r="K122" s="206"/>
      <c r="L122" s="206"/>
      <c r="M122" s="206"/>
      <c r="N122" s="206"/>
      <c r="O122" s="206"/>
    </row>
    <row r="123" spans="1:15" ht="18" customHeight="1">
      <c r="A123" s="174"/>
      <c r="B123" s="35" t="s">
        <v>185</v>
      </c>
      <c r="C123" s="58">
        <v>230.10527038574219</v>
      </c>
      <c r="D123" s="58">
        <v>104.60526275634766</v>
      </c>
      <c r="E123" s="58">
        <v>70.315788269042969</v>
      </c>
      <c r="F123" s="59">
        <v>127.40789794921875</v>
      </c>
      <c r="G123" s="206"/>
      <c r="H123" s="206"/>
      <c r="I123" s="206"/>
      <c r="J123" s="206"/>
      <c r="K123" s="206"/>
      <c r="L123" s="206"/>
      <c r="M123" s="206"/>
      <c r="N123" s="206"/>
      <c r="O123" s="206"/>
    </row>
    <row r="124" spans="1:15" ht="18" customHeight="1">
      <c r="A124" s="174"/>
      <c r="B124" s="35" t="s">
        <v>186</v>
      </c>
      <c r="C124" s="58">
        <v>460.845458984375</v>
      </c>
      <c r="D124" s="58">
        <v>278.80406951904297</v>
      </c>
      <c r="E124" s="58">
        <v>248.90895080566406</v>
      </c>
      <c r="F124" s="59">
        <v>316.84063720703125</v>
      </c>
      <c r="G124" s="206"/>
      <c r="H124" s="206"/>
      <c r="I124" s="206"/>
      <c r="J124" s="206"/>
      <c r="K124" s="206"/>
      <c r="L124" s="206"/>
      <c r="M124" s="206"/>
      <c r="N124" s="206"/>
      <c r="O124" s="206"/>
    </row>
    <row r="125" spans="1:15" ht="18" customHeight="1">
      <c r="A125" s="174"/>
      <c r="B125" s="35" t="s">
        <v>187</v>
      </c>
      <c r="C125" s="31">
        <v>544.4093017578125</v>
      </c>
      <c r="D125" s="31">
        <v>183.72962188720703</v>
      </c>
      <c r="E125" s="31">
        <v>69.7620849609375</v>
      </c>
      <c r="F125" s="60">
        <v>245.40766906738281</v>
      </c>
      <c r="G125" s="206"/>
      <c r="H125" s="206"/>
      <c r="I125" s="206"/>
      <c r="J125" s="206"/>
      <c r="K125" s="206"/>
      <c r="L125" s="206"/>
      <c r="M125" s="206"/>
      <c r="N125" s="206"/>
      <c r="O125" s="206"/>
    </row>
    <row r="126" spans="1:15" ht="18" customHeight="1">
      <c r="A126" s="174"/>
      <c r="B126" s="35" t="s">
        <v>193</v>
      </c>
      <c r="C126" s="31">
        <f ca="1">1076.524375*OFFSET($L$112,MATCH($N$1,$C$112:$C$113,0)-1,0)</f>
        <v>1076.524375</v>
      </c>
      <c r="D126" s="31">
        <f ca="1">427.128296875*OFFSET($L$112,MATCH($N$1,$C$112:$C$113,0)-1,0)</f>
        <v>427.12829687499999</v>
      </c>
      <c r="E126" s="31">
        <f ca="1">166.12621875*OFFSET($L$112,MATCH($N$1,$C$112:$C$113,0)-1,0)</f>
        <v>166.12621874999999</v>
      </c>
      <c r="F126" s="60">
        <f ca="1">524.22678125*OFFSET($L$112,MATCH($N$1,$C$112:$C$113,0)-1,0)</f>
        <v>524.22678125000004</v>
      </c>
      <c r="G126" s="206"/>
      <c r="H126" s="206"/>
      <c r="I126" s="206"/>
      <c r="J126" s="206"/>
      <c r="K126" s="206"/>
      <c r="L126" s="206"/>
      <c r="M126" s="206"/>
      <c r="N126" s="206"/>
      <c r="O126" s="206"/>
    </row>
    <row r="127" spans="1:15" ht="18" customHeight="1">
      <c r="A127" s="174"/>
      <c r="B127" s="35" t="s">
        <v>189</v>
      </c>
      <c r="C127" s="58">
        <v>200.78947448730469</v>
      </c>
      <c r="D127" s="58">
        <v>176.15789794921875</v>
      </c>
      <c r="E127" s="58">
        <v>127.68421173095703</v>
      </c>
      <c r="F127" s="59">
        <v>170.19737243652344</v>
      </c>
      <c r="G127" s="206"/>
      <c r="H127" s="206"/>
      <c r="I127" s="206"/>
      <c r="J127" s="206"/>
      <c r="K127" s="206"/>
      <c r="L127" s="206"/>
      <c r="M127" s="206"/>
      <c r="N127" s="206"/>
      <c r="O127" s="206"/>
    </row>
    <row r="128" spans="1:15" ht="18" customHeight="1">
      <c r="A128" s="174"/>
      <c r="B128" s="35" t="s">
        <v>194</v>
      </c>
      <c r="C128" s="58">
        <v>33.526317596435547</v>
      </c>
      <c r="D128" s="58">
        <v>33.86842155456543</v>
      </c>
      <c r="E128" s="58">
        <v>42.947368621826172</v>
      </c>
      <c r="F128" s="59">
        <v>36.052631378173828</v>
      </c>
      <c r="G128" s="206"/>
      <c r="H128" s="206"/>
      <c r="I128" s="206"/>
      <c r="J128" s="206"/>
      <c r="K128" s="206"/>
      <c r="L128" s="206"/>
      <c r="M128" s="206"/>
      <c r="N128" s="206"/>
      <c r="O128" s="206"/>
    </row>
    <row r="129" spans="1:15" ht="18" customHeight="1">
      <c r="A129" s="174"/>
      <c r="B129" s="35" t="s">
        <v>195</v>
      </c>
      <c r="C129" s="61">
        <v>2.7113437652587891</v>
      </c>
      <c r="D129" s="61">
        <v>1.0429825970117501</v>
      </c>
      <c r="E129" s="61">
        <v>0.54636424779891968</v>
      </c>
      <c r="F129" s="62">
        <v>1.4419004917144775</v>
      </c>
      <c r="G129" s="206"/>
      <c r="H129" s="206"/>
      <c r="I129" s="206"/>
      <c r="J129" s="206"/>
      <c r="K129" s="206"/>
      <c r="L129" s="206"/>
      <c r="M129" s="206"/>
      <c r="N129" s="206"/>
      <c r="O129" s="206"/>
    </row>
    <row r="130" spans="1:15" ht="18" customHeight="1">
      <c r="A130" s="175"/>
      <c r="B130" s="37" t="s">
        <v>196</v>
      </c>
      <c r="C130" s="38">
        <f ca="1">1977.41730628788*OFFSET($L$112,MATCH($N$1,$C$112:$C$113,0)-1,0)</f>
        <v>1977.4173062878799</v>
      </c>
      <c r="D130" s="38">
        <f ca="1">2324.76555760408*OFFSET($L$112,MATCH($N$1,$C$112:$C$113,0)-1,0)</f>
        <v>2324.7655576040802</v>
      </c>
      <c r="E130" s="38">
        <f ca="1">2381.32531220964*OFFSET($L$112,MATCH($N$1,$C$112:$C$113,0)-1,0)</f>
        <v>2381.3253122096398</v>
      </c>
      <c r="F130" s="63">
        <f ca="1">2136*OFFSET($L$112,MATCH($N$1,$C$112:$C$113,0)-1,0)</f>
        <v>2136</v>
      </c>
      <c r="G130" s="206"/>
      <c r="H130" s="206"/>
      <c r="I130" s="206"/>
      <c r="J130" s="206"/>
      <c r="K130" s="206"/>
      <c r="L130" s="206"/>
      <c r="M130" s="206"/>
      <c r="N130" s="206"/>
      <c r="O130" s="206"/>
    </row>
    <row r="131" spans="1:15" ht="18" customHeight="1">
      <c r="A131" s="184" t="s">
        <v>197</v>
      </c>
      <c r="B131" s="33" t="s">
        <v>198</v>
      </c>
      <c r="C131" s="64">
        <v>4.6322040759497991</v>
      </c>
      <c r="D131" s="64">
        <v>2.9917953254707941</v>
      </c>
      <c r="E131" s="64">
        <v>1.8179718538024006</v>
      </c>
      <c r="F131" s="65">
        <v>3.5218869500811403</v>
      </c>
      <c r="G131" s="206"/>
      <c r="H131" s="206"/>
      <c r="I131" s="206"/>
      <c r="J131" s="206"/>
      <c r="K131" s="206"/>
      <c r="L131" s="206"/>
      <c r="M131" s="206"/>
      <c r="N131" s="206"/>
      <c r="O131" s="206"/>
    </row>
    <row r="132" spans="1:15" ht="18" customHeight="1">
      <c r="A132" s="185"/>
      <c r="B132" s="35" t="s">
        <v>199</v>
      </c>
      <c r="C132" s="61">
        <f ca="1">9.1598005060404*OFFSET($L$112,MATCH($N$1,$C$112:$C$113,0)-1,0)</f>
        <v>9.1598005060403995</v>
      </c>
      <c r="D132" s="61">
        <f ca="1">6.9552227280554*OFFSET($L$112,MATCH($N$1,$C$112:$C$113,0)-1,0)</f>
        <v>6.9552227280554</v>
      </c>
      <c r="E132" s="61">
        <f ca="1">4.32918239234434*OFFSET($L$112,MATCH($N$1,$C$112:$C$113,0)-1,0)</f>
        <v>4.3291823923443404</v>
      </c>
      <c r="F132" s="62">
        <f ca="1">7.52326716921172*OFFSET($L$112,MATCH($N$1,$C$112:$C$113,0)-1,0)</f>
        <v>7.5232671692117199</v>
      </c>
      <c r="G132" s="206"/>
      <c r="H132" s="206"/>
      <c r="I132" s="206"/>
      <c r="J132" s="206"/>
      <c r="K132" s="206"/>
      <c r="L132" s="206"/>
      <c r="M132" s="206"/>
      <c r="N132" s="206"/>
      <c r="O132" s="206"/>
    </row>
    <row r="133" spans="1:15" ht="18" customHeight="1">
      <c r="A133" s="185"/>
      <c r="B133" s="35" t="s">
        <v>154</v>
      </c>
      <c r="C133" s="61">
        <f ca="1">7.18775563844575*OFFSET($L$112,MATCH($N$1,$C$112:$C$113,0)-1,0)</f>
        <v>7.1877556384457497</v>
      </c>
      <c r="D133" s="61">
        <f ca="1">6.11965671701697*OFFSET($L$112,MATCH($N$1,$C$112:$C$113,0)-1,0)</f>
        <v>6.1196567170169702</v>
      </c>
      <c r="E133" s="61">
        <f ca="1">4.47451060890285*OFFSET($L$112,MATCH($N$1,$C$112:$C$113,0)-1,0)</f>
        <v>4.4745106089028504</v>
      </c>
      <c r="F133" s="62">
        <f ca="1">6.34353637920453*OFFSET($L$112,MATCH($N$1,$C$112:$C$113,0)-1,0)</f>
        <v>6.3435363792045303</v>
      </c>
      <c r="G133" s="206"/>
      <c r="H133" s="206"/>
      <c r="I133" s="206"/>
      <c r="J133" s="206"/>
      <c r="K133" s="206"/>
      <c r="L133" s="206"/>
      <c r="M133" s="206"/>
      <c r="N133" s="206"/>
      <c r="O133" s="206"/>
    </row>
    <row r="134" spans="1:15" ht="18" customHeight="1">
      <c r="A134" s="186"/>
      <c r="B134" s="37" t="s">
        <v>155</v>
      </c>
      <c r="C134" s="66">
        <f ca="1">1.97204486759465*OFFSET($L$112,MATCH($N$1,$C$112:$C$113,0)-1,0)</f>
        <v>1.97204486759465</v>
      </c>
      <c r="D134" s="66">
        <f ca="1">0.83556601103843*OFFSET($L$112,MATCH($N$1,$C$112:$C$113,0)-1,0)</f>
        <v>0.83556601103842998</v>
      </c>
      <c r="E134" s="66">
        <f ca="1">-0.145328216558513*OFFSET($L$112,MATCH($N$1,$C$112:$C$113,0)-1,0)</f>
        <v>-0.145328216558513</v>
      </c>
      <c r="F134" s="67">
        <f ca="1">1.17973079000719*OFFSET($L$112,MATCH($N$1,$C$112:$C$113,0)-1,0)</f>
        <v>1.1797307900071901</v>
      </c>
      <c r="G134" s="206"/>
      <c r="H134" s="206"/>
      <c r="I134" s="206"/>
      <c r="J134" s="206"/>
      <c r="K134" s="206"/>
      <c r="L134" s="206"/>
      <c r="M134" s="206"/>
      <c r="N134" s="206"/>
      <c r="O134" s="206"/>
    </row>
    <row r="135" spans="1:15" ht="18" customHeight="1">
      <c r="A135" s="187" t="s">
        <v>254</v>
      </c>
      <c r="B135" s="35" t="s">
        <v>255</v>
      </c>
      <c r="C135" s="68">
        <f ca="1">139.016765625*OFFSET($L$112,MATCH($N$1,$C$112:$C$113,0)-1,0)</f>
        <v>139.01676562500001</v>
      </c>
      <c r="D135" s="68">
        <f ca="1">95.80196484375*OFFSET($L$112,MATCH($N$1,$C$112:$C$113,0)-1,0)</f>
        <v>95.80196484375</v>
      </c>
      <c r="E135" s="68">
        <f ca="1">62.79532421875*OFFSET($L$112,MATCH($N$1,$C$112:$C$113,0)-1,0)</f>
        <v>62.795324218749997</v>
      </c>
      <c r="F135" s="69">
        <f ca="1">98.3540078125*OFFSET($L$112,MATCH($N$1,$C$112:$C$113,0)-1,0)</f>
        <v>98.354007812500001</v>
      </c>
      <c r="G135" s="206"/>
      <c r="H135" s="206"/>
      <c r="I135" s="206"/>
      <c r="J135" s="206"/>
      <c r="K135" s="206"/>
      <c r="L135" s="206"/>
      <c r="M135" s="206"/>
      <c r="N135" s="206"/>
      <c r="O135" s="206"/>
    </row>
    <row r="136" spans="1:15" ht="18" customHeight="1">
      <c r="A136" s="188"/>
      <c r="B136" s="35" t="s">
        <v>256</v>
      </c>
      <c r="C136" s="30">
        <v>265178.94807569124</v>
      </c>
      <c r="D136" s="30">
        <v>182844.73981318527</v>
      </c>
      <c r="E136" s="30">
        <v>119655.2642161143</v>
      </c>
      <c r="F136" s="70">
        <v>187630.92105263157</v>
      </c>
      <c r="G136" s="206"/>
      <c r="H136" s="206"/>
      <c r="I136" s="206"/>
      <c r="J136" s="206"/>
      <c r="K136" s="206"/>
      <c r="L136" s="206"/>
      <c r="M136" s="206"/>
      <c r="N136" s="206"/>
      <c r="O136" s="206"/>
    </row>
    <row r="137" spans="1:15" ht="18" customHeight="1">
      <c r="A137" s="188"/>
      <c r="B137" s="35" t="s">
        <v>257</v>
      </c>
      <c r="C137" s="30">
        <v>1320.6815185546875</v>
      </c>
      <c r="D137" s="30">
        <v>1037.9593645349591</v>
      </c>
      <c r="E137" s="30">
        <v>937.11871337890625</v>
      </c>
      <c r="F137" s="70">
        <v>1102.431396484375</v>
      </c>
      <c r="G137" s="206"/>
      <c r="H137" s="206"/>
      <c r="I137" s="206"/>
      <c r="J137" s="206"/>
      <c r="K137" s="206"/>
      <c r="L137" s="206"/>
      <c r="M137" s="206"/>
      <c r="N137" s="206"/>
      <c r="O137" s="206"/>
    </row>
    <row r="138" spans="1:15" ht="18" customHeight="1">
      <c r="A138" s="188"/>
      <c r="B138" s="35" t="s">
        <v>258</v>
      </c>
      <c r="C138" s="30">
        <f ca="1">692.350861418234*OFFSET($L$112,MATCH($N$1,$C$112:$C$113,0)-1,0)</f>
        <v>692.35086141823399</v>
      </c>
      <c r="D138" s="30">
        <f ca="1">543.841439748373*OFFSET($L$112,MATCH($N$1,$C$112:$C$113,0)-1,0)</f>
        <v>543.84143974837298</v>
      </c>
      <c r="E138" s="30">
        <f ca="1">491.801792621517*OFFSET($L$112,MATCH($N$1,$C$112:$C$113,0)-1,0)</f>
        <v>491.801792621517</v>
      </c>
      <c r="F138" s="70">
        <f ca="1">577.88205778078*OFFSET($L$112,MATCH($N$1,$C$112:$C$113,0)-1,0)</f>
        <v>577.88205778077997</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255.353398952106*OFFSET($L$112,MATCH($N$1,$C$112:$C$113,0)-1,0)</f>
        <v>255.35339895210601</v>
      </c>
      <c r="D139" s="30">
        <f ca="1">521.429064402928*OFFSET($L$112,MATCH($N$1,$C$112:$C$113,0)-1,0)</f>
        <v>521.42906440292802</v>
      </c>
      <c r="E139" s="30">
        <f ca="1">900.135428204469*OFFSET($L$112,MATCH($N$1,$C$112:$C$113,0)-1,0)</f>
        <v>900.13542820446901</v>
      </c>
      <c r="F139" s="70">
        <f ca="1">400.778053050553*OFFSET($L$112,MATCH($N$1,$C$112:$C$113,0)-1,0)</f>
        <v>400.77805305055301</v>
      </c>
      <c r="G139" s="206"/>
      <c r="H139" s="206"/>
      <c r="I139" s="46"/>
      <c r="J139" s="206"/>
      <c r="K139" s="71" t="s">
        <v>260</v>
      </c>
      <c r="L139" s="72">
        <f t="shared" ref="L139:M141" ca="1" si="2">C140</f>
        <v>1111.0006249999999</v>
      </c>
      <c r="M139" s="72">
        <f t="shared" ca="1" si="2"/>
        <v>440.80726562500001</v>
      </c>
      <c r="N139" s="72">
        <f ca="1">E140</f>
        <v>171.44648437500001</v>
      </c>
      <c r="O139" s="72"/>
    </row>
    <row r="140" spans="1:15" ht="18" customHeight="1">
      <c r="A140" s="166" t="s">
        <v>261</v>
      </c>
      <c r="B140" s="33" t="s">
        <v>262</v>
      </c>
      <c r="C140" s="73">
        <f ca="1">1111.000625*OFFSET($L$112,MATCH($N$1,$C$112:$C$113,0)-1,0)</f>
        <v>1111.0006249999999</v>
      </c>
      <c r="D140" s="73">
        <f ca="1">440.807265625*OFFSET($L$112,MATCH($N$1,$C$112:$C$113,0)-1,0)</f>
        <v>440.80726562500001</v>
      </c>
      <c r="E140" s="73">
        <f ca="1">171.446484375*OFFSET($L$112,MATCH($N$1,$C$112:$C$113,0)-1,0)</f>
        <v>171.44648437500001</v>
      </c>
      <c r="F140" s="74">
        <f ca="1">541.015375*OFFSET($L$112,MATCH($N$1,$C$112:$C$113,0)-1,0)</f>
        <v>541.01537499999995</v>
      </c>
      <c r="G140" s="206"/>
      <c r="H140" s="206"/>
      <c r="I140" s="46"/>
      <c r="J140" s="206"/>
      <c r="K140" s="71" t="s">
        <v>263</v>
      </c>
      <c r="L140" s="72">
        <f t="shared" ca="1" si="2"/>
        <v>879.23193749999996</v>
      </c>
      <c r="M140" s="72">
        <f t="shared" ca="1" si="2"/>
        <v>389.49418750000001</v>
      </c>
      <c r="N140" s="72">
        <f ca="1">E141</f>
        <v>177.02324999999999</v>
      </c>
      <c r="O140" s="72"/>
    </row>
    <row r="141" spans="1:15" ht="18" customHeight="1">
      <c r="A141" s="167"/>
      <c r="B141" s="35" t="s">
        <v>264</v>
      </c>
      <c r="C141" s="30">
        <f ca="1">879.2319375*OFFSET($L$112,MATCH($N$1,$C$112:$C$113,0)-1,0)</f>
        <v>879.23193749999996</v>
      </c>
      <c r="D141" s="30">
        <f ca="1">389.4941875*OFFSET($L$112,MATCH($N$1,$C$112:$C$113,0)-1,0)</f>
        <v>389.49418750000001</v>
      </c>
      <c r="E141" s="30">
        <f ca="1">177.02325*OFFSET($L$112,MATCH($N$1,$C$112:$C$113,0)-1,0)</f>
        <v>177.02324999999999</v>
      </c>
      <c r="F141" s="70">
        <f ca="1">458.810875*OFFSET($L$112,MATCH($N$1,$C$112:$C$113,0)-1,0)</f>
        <v>458.81087500000001</v>
      </c>
      <c r="G141" s="206"/>
      <c r="H141" s="206"/>
      <c r="I141" s="46"/>
      <c r="J141" s="206"/>
      <c r="K141" s="71" t="s">
        <v>265</v>
      </c>
      <c r="L141" s="72">
        <f t="shared" ca="1" si="2"/>
        <v>231.7686875</v>
      </c>
      <c r="M141" s="72">
        <f t="shared" ca="1" si="2"/>
        <v>51.313078124999997</v>
      </c>
      <c r="N141" s="72">
        <f ca="1">E142</f>
        <v>-5.5767656250000002</v>
      </c>
      <c r="O141" s="72"/>
    </row>
    <row r="142" spans="1:15" ht="18" customHeight="1">
      <c r="A142" s="168"/>
      <c r="B142" s="37" t="s">
        <v>266</v>
      </c>
      <c r="C142" s="38">
        <f ca="1">231.7686875*OFFSET($L$112,MATCH($N$1,$C$112:$C$113,0)-1,0)</f>
        <v>231.7686875</v>
      </c>
      <c r="D142" s="38">
        <f ca="1">51.313078125*OFFSET($L$112,MATCH($N$1,$C$112:$C$113,0)-1,0)</f>
        <v>51.313078124999997</v>
      </c>
      <c r="E142" s="38">
        <f ca="1">-5.576765625*OFFSET($L$112,MATCH($N$1,$C$112:$C$113,0)-1,0)</f>
        <v>-5.5767656250000002</v>
      </c>
      <c r="F142" s="63">
        <f ca="1">82.2045078125*OFFSET($L$112,MATCH($N$1,$C$112:$C$113,0)-1,0)</f>
        <v>82.204507812499997</v>
      </c>
      <c r="G142" s="206"/>
      <c r="H142" s="206"/>
      <c r="I142" s="46"/>
      <c r="J142" s="206"/>
      <c r="K142" s="71" t="s">
        <v>267</v>
      </c>
      <c r="L142" s="75">
        <f ca="1">IFERROR(L140/L$139,"")</f>
        <v>0.79138743733830041</v>
      </c>
      <c r="M142" s="75">
        <f t="shared" ref="M142:N143" ca="1" si="3">IFERROR(M140/M$139,"")</f>
        <v>0.88359293930365324</v>
      </c>
      <c r="N142" s="75">
        <f t="shared" ca="1" si="3"/>
        <v>1.0325277339184282</v>
      </c>
      <c r="O142" s="75"/>
    </row>
    <row r="143" spans="1:15" ht="18" customHeight="1">
      <c r="A143" s="206"/>
      <c r="B143" s="206"/>
      <c r="C143" s="206"/>
      <c r="D143" s="206"/>
      <c r="E143" s="206"/>
      <c r="F143" s="206"/>
      <c r="G143" s="206"/>
      <c r="H143" s="206"/>
      <c r="I143" s="46"/>
      <c r="J143" s="206"/>
      <c r="K143" s="71" t="s">
        <v>268</v>
      </c>
      <c r="L143" s="75">
        <f ca="1">IFERROR(L141/L$139,"")</f>
        <v>0.2086125626616997</v>
      </c>
      <c r="M143" s="75">
        <f t="shared" ca="1" si="3"/>
        <v>0.1164070606963467</v>
      </c>
      <c r="N143" s="75">
        <f t="shared" ca="1" si="3"/>
        <v>-3.2527733918428448E-2</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10</v>
      </c>
      <c r="B161" s="51"/>
      <c r="C161" s="76" t="s">
        <v>249</v>
      </c>
      <c r="D161" s="76" t="s">
        <v>270</v>
      </c>
      <c r="E161" s="76" t="s">
        <v>251</v>
      </c>
      <c r="F161" s="76" t="s">
        <v>271</v>
      </c>
      <c r="G161" s="77">
        <v>10</v>
      </c>
      <c r="H161" s="76"/>
      <c r="I161" s="76" t="s">
        <v>249</v>
      </c>
      <c r="J161" s="76" t="s">
        <v>270</v>
      </c>
      <c r="K161" s="76" t="s">
        <v>251</v>
      </c>
      <c r="L161" s="51" t="s">
        <v>271</v>
      </c>
      <c r="R161" s="206"/>
      <c r="S161" s="206"/>
    </row>
    <row r="162" spans="1:19" s="46" customFormat="1">
      <c r="A162" s="47">
        <v>1</v>
      </c>
      <c r="B162" s="51" t="s">
        <v>172</v>
      </c>
      <c r="C162" s="51">
        <v>0.70158826052952272</v>
      </c>
      <c r="D162" s="51">
        <v>0.96179219760031043</v>
      </c>
      <c r="E162" s="51">
        <v>0.95843669868540549</v>
      </c>
      <c r="F162" s="47">
        <v>12153634</v>
      </c>
      <c r="G162" s="47">
        <v>1</v>
      </c>
      <c r="H162" s="51" t="s">
        <v>172</v>
      </c>
      <c r="I162" s="51">
        <v>0.82171070788537426</v>
      </c>
      <c r="J162" s="51">
        <v>0.96791915010540508</v>
      </c>
      <c r="K162" s="51">
        <v>0.95485837290126663</v>
      </c>
      <c r="L162" s="47">
        <v>12153634</v>
      </c>
      <c r="R162" s="206"/>
      <c r="S162" s="206"/>
    </row>
    <row r="163" spans="1:19" s="46" customFormat="1">
      <c r="A163" s="47">
        <v>2</v>
      </c>
      <c r="B163" s="51" t="s">
        <v>243</v>
      </c>
      <c r="C163" s="51">
        <v>0.28694719745831487</v>
      </c>
      <c r="D163" s="51">
        <v>2.0333107090145713E-2</v>
      </c>
      <c r="E163" s="51">
        <v>1.475579109594119E-2</v>
      </c>
      <c r="F163" s="47">
        <v>553960</v>
      </c>
      <c r="G163" s="47">
        <v>2</v>
      </c>
      <c r="H163" s="51" t="s">
        <v>243</v>
      </c>
      <c r="I163" s="51">
        <v>0.15206229459642648</v>
      </c>
      <c r="J163" s="51">
        <v>1.2229623321394777E-2</v>
      </c>
      <c r="K163" s="51">
        <v>8.1224930394187302E-3</v>
      </c>
      <c r="L163" s="47">
        <v>553960</v>
      </c>
      <c r="N163" s="46" t="s">
        <v>272</v>
      </c>
      <c r="R163" s="206"/>
      <c r="S163" s="206"/>
    </row>
    <row r="164" spans="1:19" s="46" customFormat="1">
      <c r="A164" s="47">
        <v>3</v>
      </c>
      <c r="B164" s="51" t="s">
        <v>160</v>
      </c>
      <c r="C164" s="51">
        <v>0</v>
      </c>
      <c r="D164" s="51">
        <v>9.8162061234953035E-3</v>
      </c>
      <c r="E164" s="51">
        <v>9.5204781854556081E-3</v>
      </c>
      <c r="F164" s="47">
        <v>3050596</v>
      </c>
      <c r="G164" s="47">
        <v>3</v>
      </c>
      <c r="H164" s="51" t="s">
        <v>160</v>
      </c>
      <c r="I164" s="51">
        <v>0</v>
      </c>
      <c r="J164" s="51">
        <v>9.4095955726030134E-3</v>
      </c>
      <c r="K164" s="51">
        <v>2.0776800848817206E-2</v>
      </c>
      <c r="L164" s="47">
        <v>3050596</v>
      </c>
      <c r="N164" s="46" t="s">
        <v>273</v>
      </c>
      <c r="R164" s="206"/>
      <c r="S164" s="206"/>
    </row>
    <row r="165" spans="1:19" s="46" customFormat="1">
      <c r="A165" s="47">
        <v>4</v>
      </c>
      <c r="B165" s="51" t="s">
        <v>161</v>
      </c>
      <c r="C165" s="51">
        <v>4.9968786076660674E-3</v>
      </c>
      <c r="D165" s="51">
        <v>2.336157577310787E-3</v>
      </c>
      <c r="E165" s="51">
        <v>7.4871015705432211E-4</v>
      </c>
      <c r="F165" s="47">
        <v>3689192</v>
      </c>
      <c r="G165" s="47">
        <v>4</v>
      </c>
      <c r="H165" s="51" t="s">
        <v>161</v>
      </c>
      <c r="I165" s="51">
        <v>6.643711352930912E-3</v>
      </c>
      <c r="J165" s="51">
        <v>2.7335810192911847E-3</v>
      </c>
      <c r="K165" s="51">
        <v>6.252364382015054E-4</v>
      </c>
      <c r="L165" s="47">
        <v>3689192</v>
      </c>
      <c r="R165" s="206"/>
      <c r="S165" s="206"/>
    </row>
    <row r="166" spans="1:19" s="46" customFormat="1">
      <c r="A166" s="47">
        <v>5</v>
      </c>
      <c r="B166" s="51" t="s">
        <v>241</v>
      </c>
      <c r="C166" s="51">
        <v>0</v>
      </c>
      <c r="D166" s="51">
        <v>2.088397768050415E-3</v>
      </c>
      <c r="E166" s="51">
        <v>0</v>
      </c>
      <c r="F166" s="47">
        <v>11115023</v>
      </c>
      <c r="G166" s="47">
        <v>5</v>
      </c>
      <c r="H166" s="51" t="s">
        <v>241</v>
      </c>
      <c r="I166" s="51">
        <v>0</v>
      </c>
      <c r="J166" s="51">
        <v>2.4586509372834442E-3</v>
      </c>
      <c r="K166" s="51">
        <v>0</v>
      </c>
      <c r="L166" s="47">
        <v>11115023</v>
      </c>
      <c r="R166" s="206"/>
      <c r="S166" s="206"/>
    </row>
    <row r="167" spans="1:19" s="46" customFormat="1">
      <c r="A167" s="47">
        <v>6</v>
      </c>
      <c r="B167" s="51" t="s">
        <v>169</v>
      </c>
      <c r="C167" s="51">
        <v>0</v>
      </c>
      <c r="D167" s="51">
        <v>0</v>
      </c>
      <c r="E167" s="51">
        <v>1.5497032278170978E-2</v>
      </c>
      <c r="F167" s="47">
        <v>2480382</v>
      </c>
      <c r="G167" s="47">
        <v>6</v>
      </c>
      <c r="H167" s="51" t="s">
        <v>169</v>
      </c>
      <c r="I167" s="51">
        <v>0</v>
      </c>
      <c r="J167" s="51">
        <v>0</v>
      </c>
      <c r="K167" s="51">
        <v>1.4430580108277294E-2</v>
      </c>
      <c r="L167" s="47">
        <v>2480382</v>
      </c>
      <c r="R167" s="206"/>
      <c r="S167" s="206"/>
    </row>
    <row r="168" spans="1:19" s="46" customFormat="1">
      <c r="A168" s="47">
        <v>7</v>
      </c>
      <c r="B168" s="51" t="s">
        <v>286</v>
      </c>
      <c r="C168" s="51">
        <v>1.7268835787395955E-3</v>
      </c>
      <c r="D168" s="51">
        <v>0</v>
      </c>
      <c r="E168" s="51">
        <v>0</v>
      </c>
      <c r="F168" s="47">
        <v>1692097</v>
      </c>
      <c r="G168" s="47">
        <v>7</v>
      </c>
      <c r="H168" s="51" t="s">
        <v>286</v>
      </c>
      <c r="I168" s="51">
        <v>8.727744116661721E-3</v>
      </c>
      <c r="J168" s="51">
        <v>0</v>
      </c>
      <c r="K168" s="51">
        <v>0</v>
      </c>
      <c r="L168" s="47">
        <v>1692097</v>
      </c>
      <c r="R168" s="206"/>
      <c r="S168" s="206"/>
    </row>
    <row r="169" spans="1:19" s="46" customFormat="1">
      <c r="A169" s="47">
        <v>8</v>
      </c>
      <c r="B169" s="51" t="s">
        <v>168</v>
      </c>
      <c r="C169" s="51">
        <v>1.3319602399323341E-3</v>
      </c>
      <c r="D169" s="51">
        <v>0</v>
      </c>
      <c r="E169" s="51">
        <v>0</v>
      </c>
      <c r="F169" s="47">
        <v>7434864</v>
      </c>
      <c r="G169" s="47">
        <v>8</v>
      </c>
      <c r="H169" s="51" t="s">
        <v>171</v>
      </c>
      <c r="I169" s="51">
        <v>6.7836738883805849E-3</v>
      </c>
      <c r="J169" s="51">
        <v>0</v>
      </c>
      <c r="K169" s="51">
        <v>0</v>
      </c>
      <c r="L169" s="47">
        <v>8497745</v>
      </c>
      <c r="R169" s="206"/>
      <c r="S169" s="206"/>
    </row>
    <row r="170" spans="1:19" s="46" customFormat="1">
      <c r="A170" s="47">
        <v>9</v>
      </c>
      <c r="B170" s="51" t="s">
        <v>245</v>
      </c>
      <c r="C170" s="51">
        <v>3.4088195858243964E-3</v>
      </c>
      <c r="D170" s="51">
        <v>3.6339338406874422E-3</v>
      </c>
      <c r="E170" s="51">
        <v>1.0412895979723391E-3</v>
      </c>
      <c r="F170" s="47">
        <v>5920853</v>
      </c>
      <c r="G170" s="47">
        <v>9</v>
      </c>
      <c r="H170" s="51" t="s">
        <v>245</v>
      </c>
      <c r="I170" s="51">
        <v>4.0718681602258666E-3</v>
      </c>
      <c r="J170" s="51">
        <v>5.2493990440224403E-3</v>
      </c>
      <c r="K170" s="51">
        <v>1.1865166640186997E-3</v>
      </c>
      <c r="L170" s="47">
        <v>5920853</v>
      </c>
      <c r="R170" s="206"/>
      <c r="S170" s="206"/>
    </row>
    <row r="171" spans="1:19" s="46" customFormat="1">
      <c r="A171" s="47">
        <v>10</v>
      </c>
      <c r="B171" s="51"/>
      <c r="C171" s="51">
        <v>0</v>
      </c>
      <c r="D171" s="51">
        <v>0</v>
      </c>
      <c r="E171" s="51">
        <v>0</v>
      </c>
      <c r="F171" s="47"/>
      <c r="G171" s="47">
        <v>10</v>
      </c>
      <c r="H171" s="51"/>
      <c r="I171" s="51">
        <v>0</v>
      </c>
      <c r="J171" s="51">
        <v>0</v>
      </c>
      <c r="K171" s="51">
        <v>0</v>
      </c>
      <c r="L171" s="47"/>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4A780149-BE63-4C43-9F46-8D17E52380E5}">
      <formula1>$C$112:$C$113</formula1>
    </dataValidation>
  </dataValidations>
  <hyperlinks>
    <hyperlink ref="O1:P1" location="Home_page" display="Back to home page" xr:uid="{B2A2592B-3978-494D-BDAA-529259A867C7}"/>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C437BCF6-A09C-4E57-8A35-815BC00BAF04}">
          <x14:colorSeries rgb="FF323232"/>
          <x14:colorNegative rgb="FFD00000"/>
          <x14:colorAxis rgb="FF000000"/>
          <x14:colorMarkers rgb="FFD00000"/>
          <x14:colorFirst rgb="FFD00000"/>
          <x14:colorLast rgb="FFD00000"/>
          <x14:colorHigh rgb="FFD00000"/>
          <x14:colorLow rgb="FFD00000"/>
          <x14:sparklines>
            <x14:sparkline>
              <xm:f>'UK scallop dredge over 15m'!D3:N3</xm:f>
              <xm:sqref>C3</xm:sqref>
            </x14:sparkline>
            <x14:sparkline>
              <xm:f>'UK scallop dredge over 15m'!D4:N4</xm:f>
              <xm:sqref>C4</xm:sqref>
            </x14:sparkline>
            <x14:sparkline>
              <xm:f>'UK scallop dredge over 15m'!D5:N5</xm:f>
              <xm:sqref>C5</xm:sqref>
            </x14:sparkline>
            <x14:sparkline>
              <xm:f>'UK scallop dredge over 15m'!D6:N6</xm:f>
              <xm:sqref>C6</xm:sqref>
            </x14:sparkline>
            <x14:sparkline>
              <xm:f>'UK scallop dredge over 15m'!D7:N7</xm:f>
              <xm:sqref>C7</xm:sqref>
            </x14:sparkline>
            <x14:sparkline>
              <xm:f>'UK scallop dredge over 15m'!D8:N8</xm:f>
              <xm:sqref>C8</xm:sqref>
            </x14:sparkline>
            <x14:sparkline>
              <xm:f>'UK scallop dredge over 15m'!D9:N9</xm:f>
              <xm:sqref>C9</xm:sqref>
            </x14:sparkline>
            <x14:sparkline>
              <xm:f>'UK scallop dredge over 15m'!D10:N10</xm:f>
              <xm:sqref>C10</xm:sqref>
            </x14:sparkline>
            <x14:sparkline>
              <xm:f>'UK scallop dredge over 15m'!D11:N11</xm:f>
              <xm:sqref>C11</xm:sqref>
            </x14:sparkline>
            <x14:sparkline>
              <xm:f>'UK scallop dredge over 15m'!D12:N12</xm:f>
              <xm:sqref>C12</xm:sqref>
            </x14:sparkline>
            <x14:sparkline>
              <xm:f>'UK scallop dredge over 15m'!D13:N13</xm:f>
              <xm:sqref>C13</xm:sqref>
            </x14:sparkline>
            <x14:sparkline>
              <xm:f>'UK scallop dredge over 15m'!D14:N14</xm:f>
              <xm:sqref>C14</xm:sqref>
            </x14:sparkline>
            <x14:sparkline>
              <xm:f>'UK scallop dredge over 15m'!D15:N15</xm:f>
              <xm:sqref>C15</xm:sqref>
            </x14:sparkline>
            <x14:sparkline>
              <xm:f>'UK scallop dredge over 15m'!D16:N16</xm:f>
              <xm:sqref>C16</xm:sqref>
            </x14:sparkline>
            <x14:sparkline>
              <xm:f>'UK scallop dredge over 15m'!D17:N17</xm:f>
              <xm:sqref>C17</xm:sqref>
            </x14:sparkline>
            <x14:sparkline>
              <xm:f>'UK scallop dredge over 15m'!D18:N18</xm:f>
              <xm:sqref>C18</xm:sqref>
            </x14:sparkline>
            <x14:sparkline>
              <xm:f>'UK scallop dredge over 15m'!D19:N19</xm:f>
              <xm:sqref>C19</xm:sqref>
            </x14:sparkline>
            <x14:sparkline>
              <xm:f>'UK scallop dredge over 15m'!D20:N20</xm:f>
              <xm:sqref>C20</xm:sqref>
            </x14:sparkline>
            <x14:sparkline>
              <xm:f>'UK scallop dredge over 15m'!D21:N21</xm:f>
              <xm:sqref>C21</xm:sqref>
            </x14:sparkline>
            <x14:sparkline>
              <xm:f>'UK scallop dredge over 15m'!D22:N22</xm:f>
              <xm:sqref>C22</xm:sqref>
            </x14:sparkline>
            <x14:sparkline>
              <xm:f>'UK scallop dredge over 15m'!D23:N23</xm:f>
              <xm:sqref>C23</xm:sqref>
            </x14:sparkline>
            <x14:sparkline>
              <xm:f>'UK scallop dredge over 15m'!D24:N24</xm:f>
              <xm:sqref>C24</xm:sqref>
            </x14:sparkline>
            <x14:sparkline>
              <xm:f>'UK scallop dredge over 15m'!D25:N25</xm:f>
              <xm:sqref>C25</xm:sqref>
            </x14:sparkline>
            <x14:sparkline>
              <xm:f>'UK scallop dredge over 15m'!D26:N26</xm:f>
              <xm:sqref>C26</xm:sqref>
            </x14:sparkline>
            <x14:sparkline>
              <xm:f>'UK scallop dredge over 15m'!D27:N27</xm:f>
              <xm:sqref>C27</xm:sqref>
            </x14:sparkline>
            <x14:sparkline>
              <xm:f>'UK scallop dredge over 15m'!D28:N28</xm:f>
              <xm:sqref>C28</xm:sqref>
            </x14:sparkline>
            <x14:sparkline>
              <xm:f>'UK scallop dredge over 15m'!D29:N29</xm:f>
              <xm:sqref>C29</xm:sqref>
            </x14:sparkline>
            <x14:sparkline>
              <xm:f>'UK scallop dredge over 15m'!D30:N30</xm:f>
              <xm:sqref>C30</xm:sqref>
            </x14:sparkline>
            <x14:sparkline>
              <xm:f>'UK scallop dredge over 15m'!D31:N31</xm:f>
              <xm:sqref>C31</xm:sqref>
            </x14:sparkline>
            <x14:sparkline>
              <xm:f>'UK scallop dredge over 15m'!D32:N32</xm:f>
              <xm:sqref>C32</xm:sqref>
            </x14:sparkline>
            <x14:sparkline>
              <xm:f>'UK scallop dredge over 15m'!D33:N33</xm:f>
              <xm:sqref>C33</xm:sqref>
            </x14:sparkline>
            <x14:sparkline>
              <xm:f>'UK scallop dredge over 15m'!D34:N34</xm:f>
              <xm:sqref>C34</xm:sqref>
            </x14:sparkline>
            <x14:sparkline>
              <xm:f>'UK scallop dredge over 15m'!D35:N35</xm:f>
              <xm:sqref>C35</xm:sqref>
            </x14:sparkline>
            <x14:sparkline>
              <xm:f>'UK scallop dredge over 15m'!D36:N36</xm:f>
              <xm:sqref>C36</xm:sqref>
            </x14:sparkline>
            <x14:sparkline>
              <xm:f>'UK scallop dredge over 15m'!D37:N37</xm:f>
              <xm:sqref>C37</xm:sqref>
            </x14:sparkline>
            <x14:sparkline>
              <xm:f>'UK scallop dredge over 15m'!D38:N38</xm:f>
              <xm:sqref>C38</xm:sqref>
            </x14:sparkline>
            <x14:sparkline>
              <xm:f>'UK scallop dredge over 15m'!D39:N39</xm:f>
              <xm:sqref>C39</xm:sqref>
            </x14:sparkline>
            <x14:sparkline>
              <xm:f>'UK scallop dredge over 15m'!D40:N40</xm:f>
              <xm:sqref>C40</xm:sqref>
            </x14:sparkline>
            <x14:sparkline>
              <xm:f>'UK scallop dredge over 15m'!D41:N41</xm:f>
              <xm:sqref>C41</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C1381-EE7B-47BE-BC96-CEEC31A8E4E0}">
  <sheetPr codeName="Feuil32">
    <pageSetUpPr fitToPage="1"/>
  </sheetPr>
  <dimension ref="A1:S192"/>
  <sheetViews>
    <sheetView topLeftCell="A43"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34</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135</v>
      </c>
      <c r="E3" s="27">
        <v>183</v>
      </c>
      <c r="F3" s="27">
        <v>158</v>
      </c>
      <c r="G3" s="27">
        <v>197</v>
      </c>
      <c r="H3" s="27">
        <v>192</v>
      </c>
      <c r="I3" s="27">
        <v>226</v>
      </c>
      <c r="J3" s="27">
        <v>181</v>
      </c>
      <c r="K3" s="27">
        <v>210</v>
      </c>
      <c r="L3" s="27">
        <v>211</v>
      </c>
      <c r="M3" s="27">
        <v>188</v>
      </c>
      <c r="N3" s="27">
        <v>156</v>
      </c>
      <c r="O3" s="28">
        <f t="shared" ref="O3:O41" si="0">IF(N3=0,"",IFERROR(IF(AND(N3&gt;0,D3&lt;0),"na",IF(AND(N3&lt;0,D3&lt;0),-1,1)*(N3-D3)/D3),""))</f>
        <v>0.15555555555555556</v>
      </c>
      <c r="P3" s="28">
        <f t="shared" ref="P3:P41" si="1">IF(N3=0,"",IFERROR(IF(AND(N3&gt;0,J3&lt;0),"na",IF(AND(N3&lt;0,J3&lt;0),-1,1)*(N3-J3)/J3),""))</f>
        <v>-0.13812154696132597</v>
      </c>
      <c r="Q3" s="206"/>
    </row>
    <row r="4" spans="1:17" ht="18" customHeight="1">
      <c r="A4" s="172"/>
      <c r="B4" s="29" t="s">
        <v>184</v>
      </c>
      <c r="C4" s="30"/>
      <c r="D4" s="30">
        <v>17876</v>
      </c>
      <c r="E4" s="30">
        <v>24153</v>
      </c>
      <c r="F4" s="30">
        <v>22085</v>
      </c>
      <c r="G4" s="30">
        <v>27648</v>
      </c>
      <c r="H4" s="30">
        <v>27235</v>
      </c>
      <c r="I4" s="30">
        <v>31577</v>
      </c>
      <c r="J4" s="30">
        <v>26042</v>
      </c>
      <c r="K4" s="30">
        <v>28887</v>
      </c>
      <c r="L4" s="30">
        <v>29206</v>
      </c>
      <c r="M4" s="30">
        <v>25894</v>
      </c>
      <c r="N4" s="30">
        <v>21549</v>
      </c>
      <c r="O4" s="28">
        <f t="shared" si="0"/>
        <v>0.20547102260013425</v>
      </c>
      <c r="P4" s="28">
        <f t="shared" si="1"/>
        <v>-0.17252899162890714</v>
      </c>
      <c r="Q4" s="206"/>
    </row>
    <row r="5" spans="1:17" ht="18" customHeight="1">
      <c r="A5" s="172"/>
      <c r="B5" s="29" t="s">
        <v>185</v>
      </c>
      <c r="C5" s="30"/>
      <c r="D5" s="30">
        <v>2260.469970703125</v>
      </c>
      <c r="E5" s="30">
        <v>3120.469970703125</v>
      </c>
      <c r="F5" s="30">
        <v>3016</v>
      </c>
      <c r="G5" s="30">
        <v>3654</v>
      </c>
      <c r="H5" s="30">
        <v>3656</v>
      </c>
      <c r="I5" s="30">
        <v>4220</v>
      </c>
      <c r="J5" s="30">
        <v>3621</v>
      </c>
      <c r="K5" s="30">
        <v>3888.409912109375</v>
      </c>
      <c r="L5" s="30">
        <v>4015</v>
      </c>
      <c r="M5" s="30">
        <v>3544</v>
      </c>
      <c r="N5" s="30">
        <v>3011</v>
      </c>
      <c r="O5" s="28">
        <f t="shared" si="0"/>
        <v>0.33202388840556935</v>
      </c>
      <c r="P5" s="28">
        <f t="shared" si="1"/>
        <v>-0.16846175089754212</v>
      </c>
      <c r="Q5" s="207"/>
    </row>
    <row r="6" spans="1:17" ht="18" customHeight="1">
      <c r="A6" s="172"/>
      <c r="B6" s="29" t="s">
        <v>186</v>
      </c>
      <c r="C6" s="30"/>
      <c r="D6" s="30">
        <v>14446.70703125</v>
      </c>
      <c r="E6" s="30">
        <v>19683.158203125</v>
      </c>
      <c r="F6" s="30">
        <v>18186.361328125</v>
      </c>
      <c r="G6" s="30">
        <v>22866.158203125</v>
      </c>
      <c r="H6" s="30">
        <v>22442.87109375</v>
      </c>
      <c r="I6" s="30">
        <v>25914.48828125</v>
      </c>
      <c r="J6" s="30">
        <v>21226.109375</v>
      </c>
      <c r="K6" s="30">
        <v>23469.63671875</v>
      </c>
      <c r="L6" s="30">
        <v>23807.642578125</v>
      </c>
      <c r="M6" s="30">
        <v>20992.337890625</v>
      </c>
      <c r="N6" s="30">
        <v>17575.60546875</v>
      </c>
      <c r="O6" s="28">
        <f t="shared" si="0"/>
        <v>0.21658212011441838</v>
      </c>
      <c r="P6" s="28">
        <f t="shared" si="1"/>
        <v>-0.17198177215413504</v>
      </c>
      <c r="Q6" s="206"/>
    </row>
    <row r="7" spans="1:17" ht="18" customHeight="1">
      <c r="A7" s="172"/>
      <c r="B7" s="29" t="s">
        <v>187</v>
      </c>
      <c r="C7" s="30"/>
      <c r="D7" s="30">
        <v>12752.9306640625</v>
      </c>
      <c r="E7" s="30">
        <v>19619.513671875</v>
      </c>
      <c r="F7" s="30">
        <v>16883.2734375</v>
      </c>
      <c r="G7" s="30">
        <v>22287.515625</v>
      </c>
      <c r="H7" s="30">
        <v>19440.63671875</v>
      </c>
      <c r="I7" s="30">
        <v>23272.27734375</v>
      </c>
      <c r="J7" s="30">
        <v>16406.150390625</v>
      </c>
      <c r="K7" s="30">
        <v>16818.78515625</v>
      </c>
      <c r="L7" s="30">
        <v>18198.751953125</v>
      </c>
      <c r="M7" s="30">
        <v>18919.126953125</v>
      </c>
      <c r="N7" s="30">
        <v>15757.1845703125</v>
      </c>
      <c r="O7" s="28">
        <f t="shared" si="0"/>
        <v>0.23557360934423696</v>
      </c>
      <c r="P7" s="28">
        <f t="shared" si="1"/>
        <v>-3.9556252067720885E-2</v>
      </c>
      <c r="Q7" s="206"/>
    </row>
    <row r="8" spans="1:17" ht="18" customHeight="1">
      <c r="A8" s="172"/>
      <c r="B8" s="29" t="s">
        <v>188</v>
      </c>
      <c r="C8" s="31"/>
      <c r="D8" s="31">
        <f ca="1">20.24921*OFFSET(D$112,MATCH($N$1,$C$112:$C$113,0)-1,0)</f>
        <v>20.249210000000001</v>
      </c>
      <c r="E8" s="31">
        <f ca="1">24.97679*OFFSET(E$112,MATCH($N$1,$C$112:$C$113,0)-1,0)</f>
        <v>24.976790000000001</v>
      </c>
      <c r="F8" s="31">
        <f ca="1">27.00582*OFFSET(F$112,MATCH($N$1,$C$112:$C$113,0)-1,0)</f>
        <v>27.00582</v>
      </c>
      <c r="G8" s="31">
        <f ca="1">27.153798*OFFSET(G$112,MATCH($N$1,$C$112:$C$113,0)-1,0)</f>
        <v>27.153797999999998</v>
      </c>
      <c r="H8" s="31">
        <f ca="1">29.37308*OFFSET(H$112,MATCH($N$1,$C$112:$C$113,0)-1,0)</f>
        <v>29.373080000000002</v>
      </c>
      <c r="I8" s="31">
        <f ca="1">31.86248*OFFSET(I$112,MATCH($N$1,$C$112:$C$113,0)-1,0)</f>
        <v>31.862480000000001</v>
      </c>
      <c r="J8" s="31">
        <f ca="1">32.12823*OFFSET(J$112,MATCH($N$1,$C$112:$C$113,0)-1,0)</f>
        <v>32.128230000000002</v>
      </c>
      <c r="K8" s="31">
        <f ca="1">33.863964*OFFSET(K$112,MATCH($N$1,$C$112:$C$113,0)-1,0)</f>
        <v>33.863964000000003</v>
      </c>
      <c r="L8" s="31">
        <f ca="1">33.811392*OFFSET(L$112,MATCH($N$1,$C$112:$C$113,0)-1,0)</f>
        <v>33.811391999999998</v>
      </c>
      <c r="M8" s="31">
        <f ca="1">33.975756*OFFSET(M$112,MATCH($N$1,$C$112:$C$113,0)-1,0)</f>
        <v>33.975755999999997</v>
      </c>
      <c r="N8" s="31">
        <v>20.846883999999999</v>
      </c>
      <c r="O8" s="28">
        <f t="shared" ca="1" si="0"/>
        <v>2.9515916917252465E-2</v>
      </c>
      <c r="P8" s="28">
        <f t="shared" ca="1" si="1"/>
        <v>-0.35113499872230752</v>
      </c>
      <c r="Q8" s="206"/>
    </row>
    <row r="9" spans="1:17" ht="18" customHeight="1">
      <c r="A9" s="172"/>
      <c r="B9" s="29" t="s">
        <v>189</v>
      </c>
      <c r="C9" s="30"/>
      <c r="D9" s="30">
        <v>14455</v>
      </c>
      <c r="E9" s="30">
        <v>16965</v>
      </c>
      <c r="F9" s="30">
        <v>16972</v>
      </c>
      <c r="G9" s="30">
        <v>18835</v>
      </c>
      <c r="H9" s="30">
        <v>17573</v>
      </c>
      <c r="I9" s="30">
        <v>22083</v>
      </c>
      <c r="J9" s="30">
        <v>20440</v>
      </c>
      <c r="K9" s="30">
        <v>19827</v>
      </c>
      <c r="L9" s="30">
        <v>20133</v>
      </c>
      <c r="M9" s="30">
        <v>18712</v>
      </c>
      <c r="N9" s="30">
        <v>13148</v>
      </c>
      <c r="O9" s="28">
        <f t="shared" si="0"/>
        <v>-9.0418540297474925E-2</v>
      </c>
      <c r="P9" s="28">
        <f t="shared" si="1"/>
        <v>-0.35675146771037181</v>
      </c>
      <c r="Q9" s="206"/>
    </row>
    <row r="10" spans="1:17" ht="18" customHeight="1">
      <c r="A10" s="172"/>
      <c r="B10" s="29" t="s">
        <v>190</v>
      </c>
      <c r="C10" s="30"/>
      <c r="D10" s="30">
        <v>263.10479736328125</v>
      </c>
      <c r="E10" s="30">
        <v>273.24606323242188</v>
      </c>
      <c r="F10" s="30">
        <v>336.68350219726563</v>
      </c>
      <c r="G10" s="30">
        <v>296.91958618164063</v>
      </c>
      <c r="H10" s="30">
        <v>263.41659545898438</v>
      </c>
      <c r="I10" s="30">
        <v>341.6278076171875</v>
      </c>
      <c r="J10" s="30">
        <v>467.06558227539063</v>
      </c>
      <c r="K10" s="30">
        <v>282.17205810546875</v>
      </c>
      <c r="L10" s="30">
        <v>308.66580200195313</v>
      </c>
      <c r="M10" s="30">
        <v>220.94981384277344</v>
      </c>
      <c r="N10" s="30">
        <v>154.501220703125</v>
      </c>
      <c r="O10" s="32">
        <f t="shared" si="0"/>
        <v>-0.41277687730719009</v>
      </c>
      <c r="P10" s="32">
        <f t="shared" si="1"/>
        <v>-0.6692087223587625</v>
      </c>
      <c r="Q10" s="206"/>
    </row>
    <row r="11" spans="1:17" ht="18" customHeight="1">
      <c r="A11" s="173" t="s">
        <v>191</v>
      </c>
      <c r="B11" s="33" t="s">
        <v>192</v>
      </c>
      <c r="C11" s="34"/>
      <c r="D11" s="34">
        <v>10.719703674316406</v>
      </c>
      <c r="E11" s="34">
        <v>10.86650276184082</v>
      </c>
      <c r="F11" s="34">
        <v>11.262531280517578</v>
      </c>
      <c r="G11" s="34">
        <v>11.412335395812988</v>
      </c>
      <c r="H11" s="34">
        <v>11.445052146911621</v>
      </c>
      <c r="I11" s="34">
        <v>11.280487060546875</v>
      </c>
      <c r="J11" s="34">
        <v>11.313425064086914</v>
      </c>
      <c r="K11" s="34">
        <v>10.987666130065918</v>
      </c>
      <c r="L11" s="34">
        <v>11.017677307128906</v>
      </c>
      <c r="M11" s="34">
        <v>10.871223449707031</v>
      </c>
      <c r="N11" s="34">
        <v>11.009358406066895</v>
      </c>
      <c r="O11" s="28">
        <f t="shared" si="0"/>
        <v>2.7020777863895527E-2</v>
      </c>
      <c r="P11" s="28">
        <f t="shared" si="1"/>
        <v>-2.6876622799689723E-2</v>
      </c>
      <c r="Q11" s="206"/>
    </row>
    <row r="12" spans="1:17" ht="18" customHeight="1">
      <c r="A12" s="174"/>
      <c r="B12" s="35" t="s">
        <v>184</v>
      </c>
      <c r="C12" s="30"/>
      <c r="D12" s="30">
        <v>132.41481018066406</v>
      </c>
      <c r="E12" s="30">
        <v>131.98361206054688</v>
      </c>
      <c r="F12" s="30">
        <v>139.77848815917969</v>
      </c>
      <c r="G12" s="30">
        <v>140.34518432617188</v>
      </c>
      <c r="H12" s="30">
        <v>141.84895324707031</v>
      </c>
      <c r="I12" s="30">
        <v>139.72123718261719</v>
      </c>
      <c r="J12" s="30">
        <v>143.87844848632813</v>
      </c>
      <c r="K12" s="30">
        <v>137.55714416503906</v>
      </c>
      <c r="L12" s="30">
        <v>138.41706848144531</v>
      </c>
      <c r="M12" s="30">
        <v>137.73403930664063</v>
      </c>
      <c r="N12" s="30">
        <v>138.13461303710938</v>
      </c>
      <c r="O12" s="28">
        <f t="shared" si="0"/>
        <v>4.3196096030657979E-2</v>
      </c>
      <c r="P12" s="28">
        <f t="shared" si="1"/>
        <v>-3.9921444174904008E-2</v>
      </c>
      <c r="Q12" s="206"/>
    </row>
    <row r="13" spans="1:17" ht="18" customHeight="1">
      <c r="A13" s="174"/>
      <c r="B13" s="35" t="s">
        <v>185</v>
      </c>
      <c r="C13" s="30"/>
      <c r="D13" s="30">
        <v>16.744222640991211</v>
      </c>
      <c r="E13" s="30">
        <v>17.051748275756836</v>
      </c>
      <c r="F13" s="30">
        <v>19.088607788085938</v>
      </c>
      <c r="G13" s="30">
        <v>18.548223495483398</v>
      </c>
      <c r="H13" s="30">
        <v>19.041666030883789</v>
      </c>
      <c r="I13" s="30">
        <v>18.672565460205078</v>
      </c>
      <c r="J13" s="30">
        <v>20.005525588989258</v>
      </c>
      <c r="K13" s="30">
        <v>18.516237258911133</v>
      </c>
      <c r="L13" s="30">
        <v>19.028436660766602</v>
      </c>
      <c r="M13" s="30">
        <v>18.851064682006836</v>
      </c>
      <c r="N13" s="30">
        <v>19.30128288269043</v>
      </c>
      <c r="O13" s="28">
        <f t="shared" si="0"/>
        <v>0.15271298623558244</v>
      </c>
      <c r="P13" s="28">
        <f t="shared" si="1"/>
        <v>-3.5202409612593868E-2</v>
      </c>
      <c r="Q13" s="206"/>
    </row>
    <row r="14" spans="1:17" ht="18" customHeight="1">
      <c r="A14" s="174"/>
      <c r="B14" s="35" t="s">
        <v>186</v>
      </c>
      <c r="C14" s="30"/>
      <c r="D14" s="30">
        <v>107.01264190673828</v>
      </c>
      <c r="E14" s="30">
        <v>107.55824279785156</v>
      </c>
      <c r="F14" s="30">
        <v>115.10355377197266</v>
      </c>
      <c r="G14" s="30">
        <v>116.07186889648438</v>
      </c>
      <c r="H14" s="30">
        <v>116.88995361328125</v>
      </c>
      <c r="I14" s="30">
        <v>114.66587829589844</v>
      </c>
      <c r="J14" s="30">
        <v>117.27132415771484</v>
      </c>
      <c r="K14" s="30">
        <v>111.76017761230469</v>
      </c>
      <c r="L14" s="30">
        <v>112.83242797851563</v>
      </c>
      <c r="M14" s="30">
        <v>111.66136932373047</v>
      </c>
      <c r="N14" s="30">
        <v>112.66413116455078</v>
      </c>
      <c r="O14" s="28">
        <f t="shared" si="0"/>
        <v>5.2811417016858472E-2</v>
      </c>
      <c r="P14" s="28">
        <f t="shared" si="1"/>
        <v>-3.9286611848673089E-2</v>
      </c>
      <c r="Q14" s="206"/>
    </row>
    <row r="15" spans="1:17" ht="18" customHeight="1">
      <c r="A15" s="174"/>
      <c r="B15" s="35" t="s">
        <v>187</v>
      </c>
      <c r="C15" s="31"/>
      <c r="D15" s="31">
        <v>94.466148376464844</v>
      </c>
      <c r="E15" s="31">
        <v>107.21045684814453</v>
      </c>
      <c r="F15" s="31">
        <v>106.85616302490234</v>
      </c>
      <c r="G15" s="31">
        <v>113.13459777832031</v>
      </c>
      <c r="H15" s="31">
        <v>101.25331115722656</v>
      </c>
      <c r="I15" s="31">
        <v>102.97467803955078</v>
      </c>
      <c r="J15" s="31">
        <v>90.641716003417969</v>
      </c>
      <c r="K15" s="31">
        <v>80.089454650878906</v>
      </c>
      <c r="L15" s="31">
        <v>86.250007629394531</v>
      </c>
      <c r="M15" s="31">
        <v>100.63365173339844</v>
      </c>
      <c r="N15" s="31">
        <v>101.00759124755859</v>
      </c>
      <c r="O15" s="28">
        <f t="shared" si="0"/>
        <v>6.9246423015204409E-2</v>
      </c>
      <c r="P15" s="28">
        <f t="shared" si="1"/>
        <v>0.11436097749682654</v>
      </c>
      <c r="Q15" s="206"/>
    </row>
    <row r="16" spans="1:17" ht="18" customHeight="1">
      <c r="A16" s="174"/>
      <c r="B16" s="35" t="s">
        <v>193</v>
      </c>
      <c r="C16" s="31"/>
      <c r="D16" s="31">
        <f ca="1">149.99415625*OFFSET(D$112,MATCH($N$1,$C$112:$C$113,0)-1,0)</f>
        <v>149.99415625</v>
      </c>
      <c r="E16" s="31">
        <f ca="1">136.485203125*OFFSET(E$112,MATCH($N$1,$C$112:$C$113,0)-1,0)</f>
        <v>136.485203125</v>
      </c>
      <c r="F16" s="31">
        <f ca="1">170.922921875*OFFSET(F$112,MATCH($N$1,$C$112:$C$113,0)-1,0)</f>
        <v>170.92292187499999</v>
      </c>
      <c r="G16" s="31">
        <f ca="1">137.83653125*OFFSET(G$112,MATCH($N$1,$C$112:$C$113,0)-1,0)</f>
        <v>137.83653125000001</v>
      </c>
      <c r="H16" s="31">
        <f ca="1">152.98478125*OFFSET(H$112,MATCH($N$1,$C$112:$C$113,0)-1,0)</f>
        <v>152.98478125</v>
      </c>
      <c r="I16" s="31">
        <f ca="1">140.984421875*OFFSET(I$112,MATCH($N$1,$C$112:$C$113,0)-1,0)</f>
        <v>140.98442187500001</v>
      </c>
      <c r="J16" s="31">
        <f ca="1">177.50403125*OFFSET(J$112,MATCH($N$1,$C$112:$C$113,0)-1,0)</f>
        <v>177.50403125</v>
      </c>
      <c r="K16" s="31">
        <f ca="1">161.256984375*OFFSET(K$112,MATCH($N$1,$C$112:$C$113,0)-1,0)</f>
        <v>161.256984375</v>
      </c>
      <c r="L16" s="31">
        <f ca="1">160.2435625*OFFSET(L$112,MATCH($N$1,$C$112:$C$113,0)-1,0)</f>
        <v>160.2435625</v>
      </c>
      <c r="M16" s="31">
        <f ca="1">180.72209375*OFFSET(M$112,MATCH($N$1,$C$112:$C$113,0)-1,0)</f>
        <v>180.72209375</v>
      </c>
      <c r="N16" s="31">
        <v>133.63387499999999</v>
      </c>
      <c r="O16" s="28">
        <f t="shared" ca="1" si="0"/>
        <v>-0.10907279096081461</v>
      </c>
      <c r="P16" s="28">
        <f t="shared" ca="1" si="1"/>
        <v>-0.24715019676489747</v>
      </c>
      <c r="Q16" s="206"/>
    </row>
    <row r="17" spans="1:16" ht="18" customHeight="1">
      <c r="A17" s="174"/>
      <c r="B17" s="35" t="s">
        <v>189</v>
      </c>
      <c r="C17" s="30"/>
      <c r="D17" s="30">
        <v>107.07407379150391</v>
      </c>
      <c r="E17" s="30">
        <v>92.704917907714844</v>
      </c>
      <c r="F17" s="30">
        <v>107.417724609375</v>
      </c>
      <c r="G17" s="30">
        <v>95.609138488769531</v>
      </c>
      <c r="H17" s="30">
        <v>91.526039123535156</v>
      </c>
      <c r="I17" s="30">
        <v>97.712387084960938</v>
      </c>
      <c r="J17" s="30">
        <v>112.92817687988281</v>
      </c>
      <c r="K17" s="30">
        <v>94.414283752441406</v>
      </c>
      <c r="L17" s="30">
        <v>95.417060852050781</v>
      </c>
      <c r="M17" s="30">
        <v>99.531913757324219</v>
      </c>
      <c r="N17" s="30">
        <v>84.282051086425781</v>
      </c>
      <c r="O17" s="28">
        <f t="shared" si="0"/>
        <v>-0.21286219808409515</v>
      </c>
      <c r="P17" s="28">
        <f t="shared" si="1"/>
        <v>-0.25366676931238136</v>
      </c>
    </row>
    <row r="18" spans="1:16" ht="18" customHeight="1">
      <c r="A18" s="174"/>
      <c r="B18" s="35" t="s">
        <v>194</v>
      </c>
      <c r="C18" s="30"/>
      <c r="D18" s="30">
        <v>21.200000762939453</v>
      </c>
      <c r="E18" s="30">
        <v>21.939889907836914</v>
      </c>
      <c r="F18" s="30">
        <v>22.936708450317383</v>
      </c>
      <c r="G18" s="30">
        <v>22.416244506835938</v>
      </c>
      <c r="H18" s="30">
        <v>23.911458969116211</v>
      </c>
      <c r="I18" s="30">
        <v>23.920354843139648</v>
      </c>
      <c r="J18" s="30">
        <v>25.911602020263672</v>
      </c>
      <c r="K18" s="30">
        <v>25.75238037109375</v>
      </c>
      <c r="L18" s="30">
        <v>26.170616149902344</v>
      </c>
      <c r="M18" s="30">
        <v>25.994680404663086</v>
      </c>
      <c r="N18" s="30">
        <v>27.44230842590332</v>
      </c>
      <c r="O18" s="28">
        <f t="shared" si="0"/>
        <v>0.29444846407158098</v>
      </c>
      <c r="P18" s="28">
        <f t="shared" si="1"/>
        <v>5.907417088463264E-2</v>
      </c>
    </row>
    <row r="19" spans="1:16" ht="18" customHeight="1">
      <c r="A19" s="174"/>
      <c r="B19" s="35" t="s">
        <v>195</v>
      </c>
      <c r="C19" s="36"/>
      <c r="D19" s="36">
        <v>0.88225042819976807</v>
      </c>
      <c r="E19" s="36">
        <v>1.1564700603485107</v>
      </c>
      <c r="F19" s="36">
        <v>0.99477219581604004</v>
      </c>
      <c r="G19" s="36">
        <v>1.1833032369613647</v>
      </c>
      <c r="H19" s="36">
        <v>1.1062787771224976</v>
      </c>
      <c r="I19" s="36">
        <v>1.0538549423217773</v>
      </c>
      <c r="J19" s="36">
        <v>0.80264925956726074</v>
      </c>
      <c r="K19" s="36">
        <v>0.84827691316604614</v>
      </c>
      <c r="L19" s="36">
        <v>0.90392649173736572</v>
      </c>
      <c r="M19" s="36">
        <v>1.0110691785812378</v>
      </c>
      <c r="N19" s="36">
        <v>1.1984472274780273</v>
      </c>
      <c r="O19" s="28">
        <f t="shared" si="0"/>
        <v>0.35839801168865265</v>
      </c>
      <c r="P19" s="28">
        <f t="shared" si="1"/>
        <v>0.49311447458900864</v>
      </c>
    </row>
    <row r="20" spans="1:16" ht="18" customHeight="1">
      <c r="A20" s="175"/>
      <c r="B20" s="37" t="s">
        <v>196</v>
      </c>
      <c r="C20" s="38"/>
      <c r="D20" s="38">
        <f ca="1">1588*OFFSET(D$112,MATCH($N$1,$C$112:$C$113,0)-1,0)</f>
        <v>1588</v>
      </c>
      <c r="E20" s="38">
        <f ca="1">1273*OFFSET(E$112,MATCH($N$1,$C$112:$C$113,0)-1,0)</f>
        <v>1273</v>
      </c>
      <c r="F20" s="38">
        <f ca="1">1600*OFFSET(F$112,MATCH($N$1,$C$112:$C$113,0)-1,0)</f>
        <v>1600</v>
      </c>
      <c r="G20" s="38">
        <f ca="1">1218*OFFSET(G$112,MATCH($N$1,$C$112:$C$113,0)-1,0)</f>
        <v>1218</v>
      </c>
      <c r="H20" s="38">
        <f ca="1">1511*OFFSET(H$112,MATCH($N$1,$C$112:$C$113,0)-1,0)</f>
        <v>1511</v>
      </c>
      <c r="I20" s="38">
        <f ca="1">1369*OFFSET(I$112,MATCH($N$1,$C$112:$C$113,0)-1,0)</f>
        <v>1369</v>
      </c>
      <c r="J20" s="38">
        <f ca="1">1958*OFFSET(J$112,MATCH($N$1,$C$112:$C$113,0)-1,0)</f>
        <v>1958</v>
      </c>
      <c r="K20" s="38">
        <f ca="1">2013*OFFSET(K$112,MATCH($N$1,$C$112:$C$113,0)-1,0)</f>
        <v>2013</v>
      </c>
      <c r="L20" s="38">
        <f ca="1">1858*OFFSET(L$112,MATCH($N$1,$C$112:$C$113,0)-1,0)</f>
        <v>1858</v>
      </c>
      <c r="M20" s="38">
        <f ca="1">1796*OFFSET(M$112,MATCH($N$1,$C$112:$C$113,0)-1,0)</f>
        <v>1796</v>
      </c>
      <c r="N20" s="38">
        <v>1323</v>
      </c>
      <c r="O20" s="32">
        <f t="shared" ca="1" si="0"/>
        <v>-0.16687657430730479</v>
      </c>
      <c r="P20" s="32">
        <f t="shared" ca="1" si="1"/>
        <v>-0.32431052093973445</v>
      </c>
    </row>
    <row r="21" spans="1:16" ht="18" customHeight="1">
      <c r="A21" s="176" t="s">
        <v>197</v>
      </c>
      <c r="B21" s="33" t="s">
        <v>198</v>
      </c>
      <c r="C21" s="39"/>
      <c r="D21" s="39">
        <v>6.0898114500938174</v>
      </c>
      <c r="E21" s="39">
        <v>7.9199977241014317</v>
      </c>
      <c r="F21" s="39">
        <v>6.5354112487720801</v>
      </c>
      <c r="G21" s="39">
        <v>7.7882520128140298</v>
      </c>
      <c r="H21" s="39">
        <v>7.1004815832487802</v>
      </c>
      <c r="I21" s="39">
        <v>6.9926513290677343</v>
      </c>
      <c r="J21" s="39">
        <v>5.1164718238853713</v>
      </c>
      <c r="K21" s="39">
        <v>5.4715309855001584</v>
      </c>
      <c r="L21" s="39">
        <v>5.8048132895312712</v>
      </c>
      <c r="M21" s="39">
        <v>6.5050459562438174</v>
      </c>
      <c r="N21" s="39">
        <v>7.757191793034802</v>
      </c>
      <c r="O21" s="28">
        <f t="shared" si="0"/>
        <v>0.27379835264280594</v>
      </c>
      <c r="P21" s="28">
        <f t="shared" si="1"/>
        <v>0.51612127654484141</v>
      </c>
    </row>
    <row r="22" spans="1:16" ht="18" customHeight="1">
      <c r="A22" s="176"/>
      <c r="B22" s="35" t="s">
        <v>199</v>
      </c>
      <c r="C22" s="36"/>
      <c r="D22" s="36">
        <f ca="1">9.66945457052194*OFFSET(D$112,MATCH($N$1,$C$112:$C$113,0)-1,0)</f>
        <v>9.6694545705219408</v>
      </c>
      <c r="E22" s="36">
        <f ca="1">10.082621881321*OFFSET(E$112,MATCH($N$1,$C$112:$C$113,0)-1,0)</f>
        <v>10.082621881321</v>
      </c>
      <c r="F22" s="36">
        <f ca="1">10.4537871721497*OFFSET(F$112,MATCH($N$1,$C$112:$C$113,0)-1,0)</f>
        <v>10.453787172149701</v>
      </c>
      <c r="G22" s="36">
        <f ca="1">9.48874758940301*OFFSET(G$112,MATCH($N$1,$C$112:$C$113,0)-1,0)</f>
        <v>9.48874758940301</v>
      </c>
      <c r="H22" s="36">
        <f ca="1">10.7281985089476*OFFSET(H$112,MATCH($N$1,$C$112:$C$113,0)-1,0)</f>
        <v>10.7281985089476</v>
      </c>
      <c r="I22" s="36">
        <f ca="1">9.57376049890066*OFFSET(I$112,MATCH($N$1,$C$112:$C$113,0)-1,0)</f>
        <v>9.5737604989006595</v>
      </c>
      <c r="J22" s="36">
        <f ca="1">10.0196070260017*OFFSET(J$112,MATCH($N$1,$C$112:$C$113,0)-1,0)</f>
        <v>10.019607026001699</v>
      </c>
      <c r="K22" s="36">
        <f ca="1">11.016713629557*OFFSET(K$112,MATCH($N$1,$C$112:$C$113,0)-1,0)</f>
        <v>11.016713629557</v>
      </c>
      <c r="L22" s="36">
        <f ca="1">10.7847406247049*OFFSET(L$112,MATCH($N$1,$C$112:$C$113,0)-1,0)</f>
        <v>10.7847406247049</v>
      </c>
      <c r="M22" s="36">
        <f ca="1">11.6820318541833*OFFSET(M$112,MATCH($N$1,$C$112:$C$113,0)-1,0)</f>
        <v>11.6820318541833</v>
      </c>
      <c r="N22" s="36">
        <v>10.262828621274485</v>
      </c>
      <c r="O22" s="28">
        <f t="shared" ca="1" si="0"/>
        <v>6.1365824351819143E-2</v>
      </c>
      <c r="P22" s="28">
        <f t="shared" ca="1" si="1"/>
        <v>2.4274564325886826E-2</v>
      </c>
    </row>
    <row r="23" spans="1:16" ht="18" customHeight="1">
      <c r="A23" s="176"/>
      <c r="B23" s="35" t="s">
        <v>154</v>
      </c>
      <c r="C23" s="36"/>
      <c r="D23" s="36">
        <f ca="1">8.15136484065711*OFFSET(D$112,MATCH($N$1,$C$112:$C$113,0)-1,0)</f>
        <v>8.1513648406571093</v>
      </c>
      <c r="E23" s="36">
        <f ca="1">8.91345450219232*OFFSET(E$112,MATCH($N$1,$C$112:$C$113,0)-1,0)</f>
        <v>8.9134545021923195</v>
      </c>
      <c r="F23" s="36">
        <f ca="1">8.42106377073339*OFFSET(F$112,MATCH($N$1,$C$112:$C$113,0)-1,0)</f>
        <v>8.4210637707333902</v>
      </c>
      <c r="G23" s="36">
        <f ca="1">8.23005303683119*OFFSET(G$112,MATCH($N$1,$C$112:$C$113,0)-1,0)</f>
        <v>8.2300530368311904</v>
      </c>
      <c r="H23" s="36">
        <f ca="1">8.80823787294115*OFFSET(H$112,MATCH($N$1,$C$112:$C$113,0)-1,0)</f>
        <v>8.8082378729411506</v>
      </c>
      <c r="I23" s="36">
        <f ca="1">7.93835713321779*OFFSET(I$112,MATCH($N$1,$C$112:$C$113,0)-1,0)</f>
        <v>7.9383571332177896</v>
      </c>
      <c r="J23" s="36">
        <f ca="1">8.53931707918331*OFFSET(J$112,MATCH($N$1,$C$112:$C$113,0)-1,0)</f>
        <v>8.5393170791833093</v>
      </c>
      <c r="K23" s="36">
        <f ca="1">10.0366093048903*OFFSET(K$112,MATCH($N$1,$C$112:$C$113,0)-1,0)</f>
        <v>10.0366093048903</v>
      </c>
      <c r="L23" s="36">
        <f ca="1">9.2941937215613*OFFSET(L$112,MATCH($N$1,$C$112:$C$113,0)-1,0)</f>
        <v>9.2941937215612995</v>
      </c>
      <c r="M23" s="36">
        <f ca="1">10.347010609497*OFFSET(M$112,MATCH($N$1,$C$112:$C$113,0)-1,0)</f>
        <v>10.347010609497</v>
      </c>
      <c r="N23" s="36">
        <v>10.11393314154806</v>
      </c>
      <c r="O23" s="28">
        <f t="shared" ca="1" si="0"/>
        <v>0.24076560665057181</v>
      </c>
      <c r="P23" s="28">
        <f t="shared" ca="1" si="1"/>
        <v>0.18439601759293672</v>
      </c>
    </row>
    <row r="24" spans="1:16" ht="18" customHeight="1">
      <c r="A24" s="176"/>
      <c r="B24" s="35" t="s">
        <v>155</v>
      </c>
      <c r="C24" s="36"/>
      <c r="D24" s="36">
        <f ca="1">1.66663936534178*OFFSET(D$112,MATCH($N$1,$C$112:$C$113,0)-1,0)</f>
        <v>1.6666393653417799</v>
      </c>
      <c r="E24" s="36">
        <f ca="1">1.23897861986365*OFFSET(E$112,MATCH($N$1,$C$112:$C$113,0)-1,0)</f>
        <v>1.2389786198636501</v>
      </c>
      <c r="F24" s="36">
        <f ca="1">2.42596711900792*OFFSET(F$112,MATCH($N$1,$C$112:$C$113,0)-1,0)</f>
        <v>2.4259671190079199</v>
      </c>
      <c r="G24" s="36">
        <f ca="1">1.56965047133616*OFFSET(G$112,MATCH($N$1,$C$112:$C$113,0)-1,0)</f>
        <v>1.5696504713361601</v>
      </c>
      <c r="H24" s="36">
        <f ca="1">2.04731636870456*OFFSET(H$112,MATCH($N$1,$C$112:$C$113,0)-1,0)</f>
        <v>2.0473163687045601</v>
      </c>
      <c r="I24" s="36">
        <f ca="1">2.13813696756967*OFFSET(I$112,MATCH($N$1,$C$112:$C$113,0)-1,0)</f>
        <v>2.13813696756967</v>
      </c>
      <c r="J24" s="36">
        <f ca="1">1.87537426593823*OFFSET(J$112,MATCH($N$1,$C$112:$C$113,0)-1,0)</f>
        <v>1.87537426593823</v>
      </c>
      <c r="K24" s="36">
        <f ca="1">1.36931192221384*OFFSET(K$112,MATCH($N$1,$C$112:$C$113,0)-1,0)</f>
        <v>1.3693119222138399</v>
      </c>
      <c r="L24" s="36">
        <f ca="1">1.90825043849932*OFFSET(L$112,MATCH($N$1,$C$112:$C$113,0)-1,0)</f>
        <v>1.90825043849932</v>
      </c>
      <c r="M24" s="36">
        <f ca="1">1.8220521668166*OFFSET(M$112,MATCH($N$1,$C$112:$C$113,0)-1,0)</f>
        <v>1.8220521668166001</v>
      </c>
      <c r="N24" s="36">
        <v>1.0552800123476955</v>
      </c>
      <c r="O24" s="28">
        <f t="shared" ca="1" si="0"/>
        <v>-0.36682162062619478</v>
      </c>
      <c r="P24" s="28">
        <f t="shared" ca="1" si="1"/>
        <v>-0.43729631385351764</v>
      </c>
    </row>
    <row r="25" spans="1:16" ht="18" customHeight="1">
      <c r="A25" s="176"/>
      <c r="B25" s="35" t="s">
        <v>200</v>
      </c>
      <c r="C25" s="31"/>
      <c r="D25" s="31">
        <f ca="1">76.97*OFFSET(D$112,MATCH($N$1,$C$112:$C$113,0)-1,0)</f>
        <v>76.97</v>
      </c>
      <c r="E25" s="31">
        <f ca="1">91.42*OFFSET(E$112,MATCH($N$1,$C$112:$C$113,0)-1,0)</f>
        <v>91.42</v>
      </c>
      <c r="F25" s="31">
        <f ca="1">80.2*OFFSET(F$112,MATCH($N$1,$C$112:$C$113,0)-1,0)</f>
        <v>80.2</v>
      </c>
      <c r="G25" s="31">
        <f ca="1">91.43*OFFSET(G$112,MATCH($N$1,$C$112:$C$113,0)-1,0)</f>
        <v>91.43</v>
      </c>
      <c r="H25" s="31">
        <f ca="1">111.52*OFFSET(H$112,MATCH($N$1,$C$112:$C$113,0)-1,0)</f>
        <v>111.52</v>
      </c>
      <c r="I25" s="31">
        <f ca="1">93.28*OFFSET(I$112,MATCH($N$1,$C$112:$C$113,0)-1,0)</f>
        <v>93.28</v>
      </c>
      <c r="J25" s="31">
        <f ca="1">68.79*OFFSET(J$112,MATCH($N$1,$C$112:$C$113,0)-1,0)</f>
        <v>68.790000000000006</v>
      </c>
      <c r="K25" s="31">
        <f ca="1">120.04*OFFSET(K$112,MATCH($N$1,$C$112:$C$113,0)-1,0)</f>
        <v>120.04</v>
      </c>
      <c r="L25" s="31">
        <f ca="1">109.51*OFFSET(L$112,MATCH($N$1,$C$112:$C$113,0)-1,0)</f>
        <v>109.51</v>
      </c>
      <c r="M25" s="31">
        <f ca="1">153.75*OFFSET(M$112,MATCH($N$1,$C$112:$C$113,0)-1,0)</f>
        <v>153.75</v>
      </c>
      <c r="N25" s="31">
        <v>134.9</v>
      </c>
      <c r="O25" s="28">
        <f t="shared" ca="1" si="0"/>
        <v>0.7526308951539562</v>
      </c>
      <c r="P25" s="28">
        <f t="shared" ca="1" si="1"/>
        <v>0.9610408489606046</v>
      </c>
    </row>
    <row r="26" spans="1:16" ht="18" customHeight="1">
      <c r="A26" s="177"/>
      <c r="B26" s="35" t="s">
        <v>201</v>
      </c>
      <c r="C26" s="31"/>
      <c r="D26" s="31">
        <f ca="1">13.29*OFFSET(D$112,MATCH($N$1,$C$112:$C$113,0)-1,0)</f>
        <v>13.29</v>
      </c>
      <c r="E26" s="31">
        <f ca="1">11.25*OFFSET(E$112,MATCH($N$1,$C$112:$C$113,0)-1,0)</f>
        <v>11.25</v>
      </c>
      <c r="F26" s="31">
        <f ca="1">18.63*OFFSET(F$112,MATCH($N$1,$C$112:$C$113,0)-1,0)</f>
        <v>18.63</v>
      </c>
      <c r="G26" s="31">
        <f ca="1">15.13*OFFSET(G$112,MATCH($N$1,$C$112:$C$113,0)-1,0)</f>
        <v>15.13</v>
      </c>
      <c r="H26" s="31">
        <f ca="1">21.28*OFFSET(H$112,MATCH($N$1,$C$112:$C$113,0)-1,0)</f>
        <v>21.28</v>
      </c>
      <c r="I26" s="31">
        <f ca="1">20.84*OFFSET(I$112,MATCH($N$1,$C$112:$C$113,0)-1,0)</f>
        <v>20.84</v>
      </c>
      <c r="J26" s="31">
        <f ca="1">12.87*OFFSET(J$112,MATCH($N$1,$C$112:$C$113,0)-1,0)</f>
        <v>12.87</v>
      </c>
      <c r="K26" s="31">
        <f ca="1">14.88*OFFSET(K$112,MATCH($N$1,$C$112:$C$113,0)-1,0)</f>
        <v>14.88</v>
      </c>
      <c r="L26" s="31">
        <f ca="1">19.41*OFFSET(L$112,MATCH($N$1,$C$112:$C$113,0)-1,0)</f>
        <v>19.41</v>
      </c>
      <c r="M26" s="31">
        <f ca="1">23.99*OFFSET(M$112,MATCH($N$1,$C$112:$C$113,0)-1,0)</f>
        <v>23.99</v>
      </c>
      <c r="N26" s="31">
        <v>13.83</v>
      </c>
      <c r="O26" s="32">
        <f t="shared" ca="1" si="0"/>
        <v>4.063205417607231E-2</v>
      </c>
      <c r="P26" s="32">
        <f t="shared" ca="1" si="1"/>
        <v>7.4592074592074661E-2</v>
      </c>
    </row>
    <row r="27" spans="1:16" ht="18" customHeight="1">
      <c r="A27" s="166" t="s">
        <v>202</v>
      </c>
      <c r="B27" s="33" t="s">
        <v>193</v>
      </c>
      <c r="C27" s="34"/>
      <c r="D27" s="34">
        <f ca="1">150*OFFSET(D$112,MATCH($N$1,$C$112:$C$113,0)-1,0)</f>
        <v>150</v>
      </c>
      <c r="E27" s="34">
        <f ca="1">136.5*OFFSET(E$112,MATCH($N$1,$C$112:$C$113,0)-1,0)</f>
        <v>136.5</v>
      </c>
      <c r="F27" s="34">
        <f ca="1">170.9*OFFSET(F$112,MATCH($N$1,$C$112:$C$113,0)-1,0)</f>
        <v>170.9</v>
      </c>
      <c r="G27" s="34">
        <f ca="1">137.8*OFFSET(G$112,MATCH($N$1,$C$112:$C$113,0)-1,0)</f>
        <v>137.80000000000001</v>
      </c>
      <c r="H27" s="34">
        <f ca="1">153*OFFSET(H$112,MATCH($N$1,$C$112:$C$113,0)-1,0)</f>
        <v>153</v>
      </c>
      <c r="I27" s="34">
        <f ca="1">141*OFFSET(I$112,MATCH($N$1,$C$112:$C$113,0)-1,0)</f>
        <v>141</v>
      </c>
      <c r="J27" s="34">
        <f ca="1">177.5*OFFSET(J$112,MATCH($N$1,$C$112:$C$113,0)-1,0)</f>
        <v>177.5</v>
      </c>
      <c r="K27" s="34">
        <f ca="1">161.3*OFFSET(K$112,MATCH($N$1,$C$112:$C$113,0)-1,0)</f>
        <v>161.30000000000001</v>
      </c>
      <c r="L27" s="34">
        <f ca="1">160.2*OFFSET(L$112,MATCH($N$1,$C$112:$C$113,0)-1,0)</f>
        <v>160.19999999999999</v>
      </c>
      <c r="M27" s="34">
        <f ca="1">180.7*OFFSET(M$112,MATCH($N$1,$C$112:$C$113,0)-1,0)</f>
        <v>180.7</v>
      </c>
      <c r="N27" s="34">
        <v>133.6</v>
      </c>
      <c r="O27" s="28">
        <f t="shared" ca="1" si="0"/>
        <v>-0.10933333333333337</v>
      </c>
      <c r="P27" s="28">
        <f t="shared" ca="1" si="1"/>
        <v>-0.24732394366197186</v>
      </c>
    </row>
    <row r="28" spans="1:16" ht="18" customHeight="1">
      <c r="A28" s="178"/>
      <c r="B28" s="35" t="s">
        <v>203</v>
      </c>
      <c r="C28" s="31"/>
      <c r="D28" s="31">
        <f ca="1">2.3*OFFSET(D$112,MATCH($N$1,$C$112:$C$113,0)-1,0)</f>
        <v>2.2999999999999998</v>
      </c>
      <c r="E28" s="31">
        <f ca="1">0.9*OFFSET(E$112,MATCH($N$1,$C$112:$C$113,0)-1,0)</f>
        <v>0.9</v>
      </c>
      <c r="F28" s="31">
        <f ca="1">6.4*OFFSET(F$112,MATCH($N$1,$C$112:$C$113,0)-1,0)</f>
        <v>6.4</v>
      </c>
      <c r="G28" s="31">
        <f ca="1">4.5*OFFSET(G$112,MATCH($N$1,$C$112:$C$113,0)-1,0)</f>
        <v>4.5</v>
      </c>
      <c r="H28" s="31">
        <f ca="1">1.8*OFFSET(H$112,MATCH($N$1,$C$112:$C$113,0)-1,0)</f>
        <v>1.8</v>
      </c>
      <c r="I28" s="31">
        <f ca="1">7.4*OFFSET(I$112,MATCH($N$1,$C$112:$C$113,0)-1,0)</f>
        <v>7.4</v>
      </c>
      <c r="J28" s="31">
        <f ca="1">7*OFFSET(J$112,MATCH($N$1,$C$112:$C$113,0)-1,0)</f>
        <v>7</v>
      </c>
      <c r="K28" s="31">
        <f ca="1">5.7*OFFSET(K$112,MATCH($N$1,$C$112:$C$113,0)-1,0)</f>
        <v>5.7</v>
      </c>
      <c r="L28" s="31">
        <f ca="1">6.2*OFFSET(L$112,MATCH($N$1,$C$112:$C$113,0)-1,0)</f>
        <v>6.2</v>
      </c>
      <c r="M28" s="31">
        <f ca="1">7.5*OFFSET(M$112,MATCH($N$1,$C$112:$C$113,0)-1,0)</f>
        <v>7.5</v>
      </c>
      <c r="N28" s="31">
        <v>11.8</v>
      </c>
      <c r="O28" s="28">
        <f t="shared" ca="1" si="0"/>
        <v>4.1304347826086962</v>
      </c>
      <c r="P28" s="28">
        <f t="shared" ca="1" si="1"/>
        <v>0.68571428571428583</v>
      </c>
    </row>
    <row r="29" spans="1:16" ht="18" customHeight="1">
      <c r="A29" s="178"/>
      <c r="B29" s="40" t="s">
        <v>204</v>
      </c>
      <c r="C29" s="41"/>
      <c r="D29" s="41">
        <f ca="1">152.3*OFFSET(D$112,MATCH($N$1,$C$112:$C$113,0)-1,0)</f>
        <v>152.30000000000001</v>
      </c>
      <c r="E29" s="41">
        <f ca="1">137.4*OFFSET(E$112,MATCH($N$1,$C$112:$C$113,0)-1,0)</f>
        <v>137.4</v>
      </c>
      <c r="F29" s="41">
        <f ca="1">177.4*OFFSET(F$112,MATCH($N$1,$C$112:$C$113,0)-1,0)</f>
        <v>177.4</v>
      </c>
      <c r="G29" s="41">
        <f ca="1">142.4*OFFSET(G$112,MATCH($N$1,$C$112:$C$113,0)-1,0)</f>
        <v>142.4</v>
      </c>
      <c r="H29" s="41">
        <f ca="1">154.8*OFFSET(H$112,MATCH($N$1,$C$112:$C$113,0)-1,0)</f>
        <v>154.80000000000001</v>
      </c>
      <c r="I29" s="41">
        <f ca="1">148.4*OFFSET(I$112,MATCH($N$1,$C$112:$C$113,0)-1,0)</f>
        <v>148.4</v>
      </c>
      <c r="J29" s="41">
        <f ca="1">184.5*OFFSET(J$112,MATCH($N$1,$C$112:$C$113,0)-1,0)</f>
        <v>184.5</v>
      </c>
      <c r="K29" s="41">
        <f ca="1">167*OFFSET(K$112,MATCH($N$1,$C$112:$C$113,0)-1,0)</f>
        <v>167</v>
      </c>
      <c r="L29" s="41">
        <f ca="1">166.4*OFFSET(L$112,MATCH($N$1,$C$112:$C$113,0)-1,0)</f>
        <v>166.4</v>
      </c>
      <c r="M29" s="41">
        <f ca="1">188.3*OFFSET(M$112,MATCH($N$1,$C$112:$C$113,0)-1,0)</f>
        <v>188.3</v>
      </c>
      <c r="N29" s="41">
        <v>145.4</v>
      </c>
      <c r="O29" s="28">
        <f t="shared" ca="1" si="0"/>
        <v>-4.5305318450426825E-2</v>
      </c>
      <c r="P29" s="28">
        <f t="shared" ca="1" si="1"/>
        <v>-0.21192411924119239</v>
      </c>
    </row>
    <row r="30" spans="1:16" ht="18" customHeight="1">
      <c r="A30" s="178"/>
      <c r="B30" s="35" t="s">
        <v>205</v>
      </c>
      <c r="C30" s="31"/>
      <c r="D30" s="31">
        <f ca="1">27.7*OFFSET(D$112,MATCH($N$1,$C$112:$C$113,0)-1,0)</f>
        <v>27.7</v>
      </c>
      <c r="E30" s="31">
        <f ca="1">31.4*OFFSET(E$112,MATCH($N$1,$C$112:$C$113,0)-1,0)</f>
        <v>31.4</v>
      </c>
      <c r="F30" s="31">
        <f ca="1">37.9*OFFSET(F$112,MATCH($N$1,$C$112:$C$113,0)-1,0)</f>
        <v>37.9</v>
      </c>
      <c r="G30" s="31">
        <f ca="1">32.9*OFFSET(G$112,MATCH($N$1,$C$112:$C$113,0)-1,0)</f>
        <v>32.9</v>
      </c>
      <c r="H30" s="31">
        <f ca="1">28.7*OFFSET(H$112,MATCH($N$1,$C$112:$C$113,0)-1,0)</f>
        <v>28.7</v>
      </c>
      <c r="I30" s="31">
        <f ca="1">20.4*OFFSET(I$112,MATCH($N$1,$C$112:$C$113,0)-1,0)</f>
        <v>20.399999999999999</v>
      </c>
      <c r="J30" s="31">
        <f ca="1">23*OFFSET(J$112,MATCH($N$1,$C$112:$C$113,0)-1,0)</f>
        <v>23</v>
      </c>
      <c r="K30" s="31">
        <f ca="1">23*OFFSET(K$112,MATCH($N$1,$C$112:$C$113,0)-1,0)</f>
        <v>23</v>
      </c>
      <c r="L30" s="31">
        <f ca="1">27.5*OFFSET(L$112,MATCH($N$1,$C$112:$C$113,0)-1,0)</f>
        <v>27.5</v>
      </c>
      <c r="M30" s="31">
        <f ca="1">27.5*OFFSET(M$112,MATCH($N$1,$C$112:$C$113,0)-1,0)</f>
        <v>27.5</v>
      </c>
      <c r="N30" s="31">
        <v>17</v>
      </c>
      <c r="O30" s="28">
        <f t="shared" ca="1" si="0"/>
        <v>-0.38628158844765342</v>
      </c>
      <c r="P30" s="28">
        <f t="shared" ca="1" si="1"/>
        <v>-0.2608695652173913</v>
      </c>
    </row>
    <row r="31" spans="1:16" ht="18" customHeight="1">
      <c r="A31" s="178"/>
      <c r="B31" s="35" t="s">
        <v>206</v>
      </c>
      <c r="C31" s="31"/>
      <c r="D31" s="31">
        <f ca="1">43.6*OFFSET(D$112,MATCH($N$1,$C$112:$C$113,0)-1,0)</f>
        <v>43.6</v>
      </c>
      <c r="E31" s="31">
        <f ca="1">40.9*OFFSET(E$112,MATCH($N$1,$C$112:$C$113,0)-1,0)</f>
        <v>40.9</v>
      </c>
      <c r="F31" s="31">
        <f ca="1">51.5*OFFSET(F$112,MATCH($N$1,$C$112:$C$113,0)-1,0)</f>
        <v>51.5</v>
      </c>
      <c r="G31" s="31">
        <f ca="1">32.7*OFFSET(G$112,MATCH($N$1,$C$112:$C$113,0)-1,0)</f>
        <v>32.700000000000003</v>
      </c>
      <c r="H31" s="31">
        <f ca="1">39.5*OFFSET(H$112,MATCH($N$1,$C$112:$C$113,0)-1,0)</f>
        <v>39.5</v>
      </c>
      <c r="I31" s="31">
        <f ca="1">29.4*OFFSET(I$112,MATCH($N$1,$C$112:$C$113,0)-1,0)</f>
        <v>29.4</v>
      </c>
      <c r="J31" s="31">
        <f ca="1">46*OFFSET(J$112,MATCH($N$1,$C$112:$C$113,0)-1,0)</f>
        <v>46</v>
      </c>
      <c r="K31" s="31">
        <f ca="1">39.6*OFFSET(K$112,MATCH($N$1,$C$112:$C$113,0)-1,0)</f>
        <v>39.6</v>
      </c>
      <c r="L31" s="31">
        <f ca="1">41.9*OFFSET(L$112,MATCH($N$1,$C$112:$C$113,0)-1,0)</f>
        <v>41.9</v>
      </c>
      <c r="M31" s="31">
        <f ca="1">46.6*OFFSET(M$112,MATCH($N$1,$C$112:$C$113,0)-1,0)</f>
        <v>46.6</v>
      </c>
      <c r="N31" s="31">
        <v>35.6</v>
      </c>
      <c r="O31" s="28">
        <f t="shared" ca="1" si="0"/>
        <v>-0.18348623853211007</v>
      </c>
      <c r="P31" s="28">
        <f t="shared" ca="1" si="1"/>
        <v>-0.2260869565217391</v>
      </c>
    </row>
    <row r="32" spans="1:16" ht="18" customHeight="1">
      <c r="A32" s="178"/>
      <c r="B32" s="35" t="s">
        <v>207</v>
      </c>
      <c r="C32" s="31"/>
      <c r="D32" s="31">
        <f ca="1">14.4*OFFSET(D$112,MATCH($N$1,$C$112:$C$113,0)-1,0)</f>
        <v>14.4</v>
      </c>
      <c r="E32" s="31">
        <f ca="1">14.4*OFFSET(E$112,MATCH($N$1,$C$112:$C$113,0)-1,0)</f>
        <v>14.4</v>
      </c>
      <c r="F32" s="31">
        <f ca="1">16.8*OFFSET(F$112,MATCH($N$1,$C$112:$C$113,0)-1,0)</f>
        <v>16.8</v>
      </c>
      <c r="G32" s="31">
        <f ca="1">17.2*OFFSET(G$112,MATCH($N$1,$C$112:$C$113,0)-1,0)</f>
        <v>17.2</v>
      </c>
      <c r="H32" s="31">
        <f ca="1">14.4*OFFSET(H$112,MATCH($N$1,$C$112:$C$113,0)-1,0)</f>
        <v>14.4</v>
      </c>
      <c r="I32" s="31">
        <f ca="1">34.6*OFFSET(I$112,MATCH($N$1,$C$112:$C$113,0)-1,0)</f>
        <v>34.6</v>
      </c>
      <c r="J32" s="31">
        <f ca="1">34.3*OFFSET(J$112,MATCH($N$1,$C$112:$C$113,0)-1,0)</f>
        <v>34.299999999999997</v>
      </c>
      <c r="K32" s="31">
        <f ca="1">33.6*OFFSET(K$112,MATCH($N$1,$C$112:$C$113,0)-1,0)</f>
        <v>33.6</v>
      </c>
      <c r="L32" s="31">
        <f ca="1">18.2*OFFSET(L$112,MATCH($N$1,$C$112:$C$113,0)-1,0)</f>
        <v>18.2</v>
      </c>
      <c r="M32" s="31">
        <f ca="1">19.4*OFFSET(M$112,MATCH($N$1,$C$112:$C$113,0)-1,0)</f>
        <v>19.399999999999999</v>
      </c>
      <c r="N32" s="31">
        <v>14.4</v>
      </c>
      <c r="O32" s="28">
        <f t="shared" ca="1" si="0"/>
        <v>0</v>
      </c>
      <c r="P32" s="28">
        <f t="shared" ca="1" si="1"/>
        <v>-0.58017492711370267</v>
      </c>
    </row>
    <row r="33" spans="1:16" ht="18" customHeight="1">
      <c r="A33" s="178"/>
      <c r="B33" s="35" t="s">
        <v>208</v>
      </c>
      <c r="C33" s="31"/>
      <c r="D33" s="31">
        <f ca="1">85.7*OFFSET(D$112,MATCH($N$1,$C$112:$C$113,0)-1,0)</f>
        <v>85.7</v>
      </c>
      <c r="E33" s="31">
        <f ca="1">86.6*OFFSET(E$112,MATCH($N$1,$C$112:$C$113,0)-1,0)</f>
        <v>86.6</v>
      </c>
      <c r="F33" s="31">
        <f ca="1">106.1*OFFSET(F$112,MATCH($N$1,$C$112:$C$113,0)-1,0)</f>
        <v>106.1</v>
      </c>
      <c r="G33" s="31">
        <f ca="1">82.9*OFFSET(G$112,MATCH($N$1,$C$112:$C$113,0)-1,0)</f>
        <v>82.9</v>
      </c>
      <c r="H33" s="31">
        <f ca="1">82.6*OFFSET(H$112,MATCH($N$1,$C$112:$C$113,0)-1,0)</f>
        <v>82.6</v>
      </c>
      <c r="I33" s="31">
        <f ca="1">84.4*OFFSET(I$112,MATCH($N$1,$C$112:$C$113,0)-1,0)</f>
        <v>84.4</v>
      </c>
      <c r="J33" s="31">
        <f ca="1">103.4*OFFSET(J$112,MATCH($N$1,$C$112:$C$113,0)-1,0)</f>
        <v>103.4</v>
      </c>
      <c r="K33" s="31">
        <f ca="1">96.1*OFFSET(K$112,MATCH($N$1,$C$112:$C$113,0)-1,0)</f>
        <v>96.1</v>
      </c>
      <c r="L33" s="31">
        <f ca="1">87.6*OFFSET(L$112,MATCH($N$1,$C$112:$C$113,0)-1,0)</f>
        <v>87.6</v>
      </c>
      <c r="M33" s="31">
        <f ca="1">93.5*OFFSET(M$112,MATCH($N$1,$C$112:$C$113,0)-1,0)</f>
        <v>93.5</v>
      </c>
      <c r="N33" s="31">
        <v>67</v>
      </c>
      <c r="O33" s="28">
        <f t="shared" ca="1" si="0"/>
        <v>-0.21820303383897319</v>
      </c>
      <c r="P33" s="28">
        <f t="shared" ca="1" si="1"/>
        <v>-0.35203094777562866</v>
      </c>
    </row>
    <row r="34" spans="1:16" ht="18" customHeight="1">
      <c r="A34" s="178"/>
      <c r="B34" s="35" t="s">
        <v>209</v>
      </c>
      <c r="C34" s="31"/>
      <c r="D34" s="31">
        <f ca="1">40.7*OFFSET(D$112,MATCH($N$1,$C$112:$C$113,0)-1,0)</f>
        <v>40.700000000000003</v>
      </c>
      <c r="E34" s="31">
        <f ca="1">34.1*OFFSET(E$112,MATCH($N$1,$C$112:$C$113,0)-1,0)</f>
        <v>34.1</v>
      </c>
      <c r="F34" s="31">
        <f ca="1">31.5*OFFSET(F$112,MATCH($N$1,$C$112:$C$113,0)-1,0)</f>
        <v>31.5</v>
      </c>
      <c r="G34" s="31">
        <f ca="1">36.6*OFFSET(G$112,MATCH($N$1,$C$112:$C$113,0)-1,0)</f>
        <v>36.6</v>
      </c>
      <c r="H34" s="31">
        <f ca="1">43*OFFSET(H$112,MATCH($N$1,$C$112:$C$113,0)-1,0)</f>
        <v>43</v>
      </c>
      <c r="I34" s="31">
        <f ca="1">32.5*OFFSET(I$112,MATCH($N$1,$C$112:$C$113,0)-1,0)</f>
        <v>32.5</v>
      </c>
      <c r="J34" s="31">
        <f ca="1">47.9*OFFSET(J$112,MATCH($N$1,$C$112:$C$113,0)-1,0)</f>
        <v>47.9</v>
      </c>
      <c r="K34" s="31">
        <f ca="1">50.8*OFFSET(K$112,MATCH($N$1,$C$112:$C$113,0)-1,0)</f>
        <v>50.8</v>
      </c>
      <c r="L34" s="31">
        <f ca="1">50.5*OFFSET(L$112,MATCH($N$1,$C$112:$C$113,0)-1,0)</f>
        <v>50.5</v>
      </c>
      <c r="M34" s="31">
        <f ca="1">66.6*OFFSET(M$112,MATCH($N$1,$C$112:$C$113,0)-1,0)</f>
        <v>66.599999999999994</v>
      </c>
      <c r="N34" s="31">
        <v>64.7</v>
      </c>
      <c r="O34" s="28">
        <f t="shared" ca="1" si="0"/>
        <v>0.58968058968058967</v>
      </c>
      <c r="P34" s="28">
        <f t="shared" ca="1" si="1"/>
        <v>0.35073068893528192</v>
      </c>
    </row>
    <row r="35" spans="1:16" ht="18" customHeight="1">
      <c r="A35" s="178"/>
      <c r="B35" s="35" t="s">
        <v>210</v>
      </c>
      <c r="C35" s="31"/>
      <c r="D35" s="31">
        <f ca="1">126.4*OFFSET(D$112,MATCH($N$1,$C$112:$C$113,0)-1,0)</f>
        <v>126.4</v>
      </c>
      <c r="E35" s="31">
        <f ca="1">120.7*OFFSET(E$112,MATCH($N$1,$C$112:$C$113,0)-1,0)</f>
        <v>120.7</v>
      </c>
      <c r="F35" s="31">
        <f ca="1">137.7*OFFSET(F$112,MATCH($N$1,$C$112:$C$113,0)-1,0)</f>
        <v>137.69999999999999</v>
      </c>
      <c r="G35" s="31">
        <f ca="1">119.6*OFFSET(G$112,MATCH($N$1,$C$112:$C$113,0)-1,0)</f>
        <v>119.6</v>
      </c>
      <c r="H35" s="31">
        <f ca="1">125.6*OFFSET(H$112,MATCH($N$1,$C$112:$C$113,0)-1,0)</f>
        <v>125.6</v>
      </c>
      <c r="I35" s="31">
        <f ca="1">116.9*OFFSET(I$112,MATCH($N$1,$C$112:$C$113,0)-1,0)</f>
        <v>116.9</v>
      </c>
      <c r="J35" s="31">
        <f ca="1">151.3*OFFSET(J$112,MATCH($N$1,$C$112:$C$113,0)-1,0)</f>
        <v>151.30000000000001</v>
      </c>
      <c r="K35" s="31">
        <f ca="1">146.9*OFFSET(K$112,MATCH($N$1,$C$112:$C$113,0)-1,0)</f>
        <v>146.9</v>
      </c>
      <c r="L35" s="31">
        <f ca="1">138.1*OFFSET(L$112,MATCH($N$1,$C$112:$C$113,0)-1,0)</f>
        <v>138.1</v>
      </c>
      <c r="M35" s="31">
        <f ca="1">160.1*OFFSET(M$112,MATCH($N$1,$C$112:$C$113,0)-1,0)</f>
        <v>160.1</v>
      </c>
      <c r="N35" s="31">
        <v>131.69999999999999</v>
      </c>
      <c r="O35" s="28">
        <f t="shared" ca="1" si="0"/>
        <v>4.1930379746835306E-2</v>
      </c>
      <c r="P35" s="28">
        <f t="shared" ca="1" si="1"/>
        <v>-0.12954395241242578</v>
      </c>
    </row>
    <row r="36" spans="1:16" ht="18" customHeight="1">
      <c r="A36" s="178"/>
      <c r="B36" s="40" t="s">
        <v>211</v>
      </c>
      <c r="C36" s="41"/>
      <c r="D36" s="41">
        <f ca="1">69.5*OFFSET(D$112,MATCH($N$1,$C$112:$C$113,0)-1,0)</f>
        <v>69.5</v>
      </c>
      <c r="E36" s="41">
        <f ca="1">57.7*OFFSET(E$112,MATCH($N$1,$C$112:$C$113,0)-1,0)</f>
        <v>57.7</v>
      </c>
      <c r="F36" s="41">
        <f ca="1">91.2*OFFSET(F$112,MATCH($N$1,$C$112:$C$113,0)-1,0)</f>
        <v>91.2</v>
      </c>
      <c r="G36" s="41">
        <f ca="1">55.5*OFFSET(G$112,MATCH($N$1,$C$112:$C$113,0)-1,0)</f>
        <v>55.5</v>
      </c>
      <c r="H36" s="41">
        <f ca="1">68.7*OFFSET(H$112,MATCH($N$1,$C$112:$C$113,0)-1,0)</f>
        <v>68.7</v>
      </c>
      <c r="I36" s="41">
        <f ca="1">60.9*OFFSET(I$112,MATCH($N$1,$C$112:$C$113,0)-1,0)</f>
        <v>60.9</v>
      </c>
      <c r="J36" s="41">
        <f ca="1">79.2*OFFSET(J$112,MATCH($N$1,$C$112:$C$113,0)-1,0)</f>
        <v>79.2</v>
      </c>
      <c r="K36" s="41">
        <f ca="1">59.6*OFFSET(K$112,MATCH($N$1,$C$112:$C$113,0)-1,0)</f>
        <v>59.6</v>
      </c>
      <c r="L36" s="41">
        <f ca="1">70.3*OFFSET(L$112,MATCH($N$1,$C$112:$C$113,0)-1,0)</f>
        <v>70.3</v>
      </c>
      <c r="M36" s="41">
        <f ca="1">74.8*OFFSET(M$112,MATCH($N$1,$C$112:$C$113,0)-1,0)</f>
        <v>74.8</v>
      </c>
      <c r="N36" s="41">
        <v>49.300000000000004</v>
      </c>
      <c r="O36" s="28">
        <f t="shared" ca="1" si="0"/>
        <v>-0.29064748201438845</v>
      </c>
      <c r="P36" s="28">
        <f t="shared" ca="1" si="1"/>
        <v>-0.37752525252525249</v>
      </c>
    </row>
    <row r="37" spans="1:16" ht="18" customHeight="1">
      <c r="A37" s="178"/>
      <c r="B37" s="40" t="s">
        <v>212</v>
      </c>
      <c r="C37" s="41"/>
      <c r="D37" s="41">
        <f ca="1">25.9*OFFSET(D$112,MATCH($N$1,$C$112:$C$113,0)-1,0)</f>
        <v>25.9</v>
      </c>
      <c r="E37" s="41">
        <f ca="1">16.8*OFFSET(E$112,MATCH($N$1,$C$112:$C$113,0)-1,0)</f>
        <v>16.8</v>
      </c>
      <c r="F37" s="41">
        <f ca="1">39.7*OFFSET(F$112,MATCH($N$1,$C$112:$C$113,0)-1,0)</f>
        <v>39.700000000000003</v>
      </c>
      <c r="G37" s="41">
        <f ca="1">22.8*OFFSET(G$112,MATCH($N$1,$C$112:$C$113,0)-1,0)</f>
        <v>22.8</v>
      </c>
      <c r="H37" s="41">
        <f ca="1">29.2*OFFSET(H$112,MATCH($N$1,$C$112:$C$113,0)-1,0)</f>
        <v>29.2</v>
      </c>
      <c r="I37" s="41">
        <f ca="1">31.5*OFFSET(I$112,MATCH($N$1,$C$112:$C$113,0)-1,0)</f>
        <v>31.5</v>
      </c>
      <c r="J37" s="41">
        <f ca="1">33.2*OFFSET(J$112,MATCH($N$1,$C$112:$C$113,0)-1,0)</f>
        <v>33.200000000000003</v>
      </c>
      <c r="K37" s="41">
        <f ca="1">20*OFFSET(K$112,MATCH($N$1,$C$112:$C$113,0)-1,0)</f>
        <v>20</v>
      </c>
      <c r="L37" s="41">
        <f ca="1">28.4*OFFSET(L$112,MATCH($N$1,$C$112:$C$113,0)-1,0)</f>
        <v>28.4</v>
      </c>
      <c r="M37" s="41">
        <f ca="1">28.2*OFFSET(M$112,MATCH($N$1,$C$112:$C$113,0)-1,0)</f>
        <v>28.2</v>
      </c>
      <c r="N37" s="41">
        <v>13.700000000000001</v>
      </c>
      <c r="O37" s="28">
        <f t="shared" ca="1" si="0"/>
        <v>-0.47104247104247099</v>
      </c>
      <c r="P37" s="28">
        <f t="shared" ca="1" si="1"/>
        <v>-0.58734939759036142</v>
      </c>
    </row>
    <row r="38" spans="1:16" ht="18" customHeight="1">
      <c r="A38" s="178"/>
      <c r="B38" s="35" t="s">
        <v>213</v>
      </c>
      <c r="C38" s="31"/>
      <c r="D38" s="31">
        <f ca="1">7.5*OFFSET(D$112,MATCH($N$1,$C$112:$C$113,0)-1,0)</f>
        <v>7.5</v>
      </c>
      <c r="E38" s="31">
        <f ca="1">9.4*OFFSET(E$112,MATCH($N$1,$C$112:$C$113,0)-1,0)</f>
        <v>9.4</v>
      </c>
      <c r="F38" s="31">
        <f ca="1">8.1*OFFSET(F$112,MATCH($N$1,$C$112:$C$113,0)-1,0)</f>
        <v>8.1</v>
      </c>
      <c r="G38" s="31">
        <f ca="1">10.9*OFFSET(G$112,MATCH($N$1,$C$112:$C$113,0)-1,0)</f>
        <v>10.9</v>
      </c>
      <c r="H38" s="31">
        <f ca="1">7.9*OFFSET(H$112,MATCH($N$1,$C$112:$C$113,0)-1,0)</f>
        <v>7.9</v>
      </c>
      <c r="I38" s="31">
        <f ca="1">9.5*OFFSET(I$112,MATCH($N$1,$C$112:$C$113,0)-1,0)</f>
        <v>9.5</v>
      </c>
      <c r="J38" s="31">
        <f ca="1">8.9*OFFSET(J$112,MATCH($N$1,$C$112:$C$113,0)-1,0)</f>
        <v>8.9</v>
      </c>
      <c r="K38" s="31">
        <f ca="1">7.4*OFFSET(K$112,MATCH($N$1,$C$112:$C$113,0)-1,0)</f>
        <v>7.4</v>
      </c>
      <c r="L38" s="31">
        <f ca="1">8.9*OFFSET(L$112,MATCH($N$1,$C$112:$C$113,0)-1,0)</f>
        <v>8.9</v>
      </c>
      <c r="M38" s="31">
        <f ca="1">15.4*OFFSET(M$112,MATCH($N$1,$C$112:$C$113,0)-1,0)</f>
        <v>15.4</v>
      </c>
      <c r="N38" s="31"/>
      <c r="O38" s="28" t="str">
        <f t="shared" si="0"/>
        <v/>
      </c>
      <c r="P38" s="28" t="str">
        <f t="shared" si="1"/>
        <v/>
      </c>
    </row>
    <row r="39" spans="1:16" ht="18" customHeight="1">
      <c r="A39" s="178"/>
      <c r="B39" s="35" t="s">
        <v>214</v>
      </c>
      <c r="C39" s="31"/>
      <c r="D39" s="31">
        <f ca="1">2.4*OFFSET(D$112,MATCH($N$1,$C$112:$C$113,0)-1,0)</f>
        <v>2.4</v>
      </c>
      <c r="E39" s="31">
        <f ca="1">1.2*OFFSET(E$112,MATCH($N$1,$C$112:$C$113,0)-1,0)</f>
        <v>1.2</v>
      </c>
      <c r="F39" s="31">
        <f ca="1">1.3*OFFSET(F$112,MATCH($N$1,$C$112:$C$113,0)-1,0)</f>
        <v>1.3</v>
      </c>
      <c r="G39" s="31">
        <f ca="1">2.6*OFFSET(G$112,MATCH($N$1,$C$112:$C$113,0)-1,0)</f>
        <v>2.6</v>
      </c>
      <c r="H39" s="31">
        <f ca="1">1.8*OFFSET(H$112,MATCH($N$1,$C$112:$C$113,0)-1,0)</f>
        <v>1.8</v>
      </c>
      <c r="I39" s="31">
        <f ca="1">1.8*OFFSET(I$112,MATCH($N$1,$C$112:$C$113,0)-1,0)</f>
        <v>1.8</v>
      </c>
      <c r="J39" s="31">
        <f ca="1">2.1*OFFSET(J$112,MATCH($N$1,$C$112:$C$113,0)-1,0)</f>
        <v>2.1</v>
      </c>
      <c r="K39" s="31">
        <f ca="1">1.9*OFFSET(K$112,MATCH($N$1,$C$112:$C$113,0)-1,0)</f>
        <v>1.9</v>
      </c>
      <c r="L39" s="31">
        <f ca="1">3.9*OFFSET(L$112,MATCH($N$1,$C$112:$C$113,0)-1,0)</f>
        <v>3.9</v>
      </c>
      <c r="M39" s="31">
        <f ca="1">4.7*OFFSET(M$112,MATCH($N$1,$C$112:$C$113,0)-1,0)</f>
        <v>4.7</v>
      </c>
      <c r="N39" s="31"/>
      <c r="O39" s="28" t="str">
        <f t="shared" si="0"/>
        <v/>
      </c>
      <c r="P39" s="28" t="str">
        <f t="shared" si="1"/>
        <v/>
      </c>
    </row>
    <row r="40" spans="1:16" ht="18" customHeight="1">
      <c r="A40" s="178"/>
      <c r="B40" s="35" t="s">
        <v>215</v>
      </c>
      <c r="C40" s="31"/>
      <c r="D40" s="31">
        <f ca="1">0.6*OFFSET(D$112,MATCH($N$1,$C$112:$C$113,0)-1,0)</f>
        <v>0.6</v>
      </c>
      <c r="E40" s="31">
        <f ca="1">1.6*OFFSET(E$112,MATCH($N$1,$C$112:$C$113,0)-1,0)</f>
        <v>1.6</v>
      </c>
      <c r="F40" s="31">
        <f ca="1">0.5*OFFSET(F$112,MATCH($N$1,$C$112:$C$113,0)-1,0)</f>
        <v>0.5</v>
      </c>
      <c r="G40" s="31">
        <f ca="1">0.4*OFFSET(G$112,MATCH($N$1,$C$112:$C$113,0)-1,0)</f>
        <v>0.4</v>
      </c>
      <c r="H40" s="31">
        <f ca="1">0.3*OFFSET(H$112,MATCH($N$1,$C$112:$C$113,0)-1,0)</f>
        <v>0.3</v>
      </c>
      <c r="I40" s="31">
        <f ca="1">1.3*OFFSET(I$112,MATCH($N$1,$C$112:$C$113,0)-1,0)</f>
        <v>1.3</v>
      </c>
      <c r="J40" s="31">
        <f ca="1">1*OFFSET(J$112,MATCH($N$1,$C$112:$C$113,0)-1,0)</f>
        <v>1</v>
      </c>
      <c r="K40" s="31">
        <f ca="1">1*OFFSET(K$112,MATCH($N$1,$C$112:$C$113,0)-1,0)</f>
        <v>1</v>
      </c>
      <c r="L40" s="31">
        <f ca="1">0.7*OFFSET(L$112,MATCH($N$1,$C$112:$C$113,0)-1,0)</f>
        <v>0.7</v>
      </c>
      <c r="M40" s="31">
        <f ca="1">0.4*OFFSET(M$112,MATCH($N$1,$C$112:$C$113,0)-1,0)</f>
        <v>0.4</v>
      </c>
      <c r="N40" s="31"/>
      <c r="O40" s="28" t="str">
        <f t="shared" si="0"/>
        <v/>
      </c>
      <c r="P40" s="28" t="str">
        <f t="shared" si="1"/>
        <v/>
      </c>
    </row>
    <row r="41" spans="1:16" ht="18" customHeight="1" thickBot="1">
      <c r="A41" s="179"/>
      <c r="B41" s="42" t="s">
        <v>216</v>
      </c>
      <c r="C41" s="43"/>
      <c r="D41" s="43">
        <f ca="1">15.4*OFFSET(D$112,MATCH($N$1,$C$112:$C$113,0)-1,0)</f>
        <v>15.4</v>
      </c>
      <c r="E41" s="43">
        <f ca="1">4.6*OFFSET(E$112,MATCH($N$1,$C$112:$C$113,0)-1,0)</f>
        <v>4.5999999999999996</v>
      </c>
      <c r="F41" s="43">
        <f ca="1">29.8*OFFSET(F$112,MATCH($N$1,$C$112:$C$113,0)-1,0)</f>
        <v>29.8</v>
      </c>
      <c r="G41" s="43">
        <f ca="1">8.9*OFFSET(G$112,MATCH($N$1,$C$112:$C$113,0)-1,0)</f>
        <v>8.9</v>
      </c>
      <c r="H41" s="43">
        <f ca="1">19.2*OFFSET(H$112,MATCH($N$1,$C$112:$C$113,0)-1,0)</f>
        <v>19.2</v>
      </c>
      <c r="I41" s="43">
        <f ca="1">18.9*OFFSET(I$112,MATCH($N$1,$C$112:$C$113,0)-1,0)</f>
        <v>18.899999999999999</v>
      </c>
      <c r="J41" s="43">
        <f ca="1">21.3*OFFSET(J$112,MATCH($N$1,$C$112:$C$113,0)-1,0)</f>
        <v>21.3</v>
      </c>
      <c r="K41" s="43">
        <f ca="1">9.8*OFFSET(K$112,MATCH($N$1,$C$112:$C$113,0)-1,0)</f>
        <v>9.8000000000000007</v>
      </c>
      <c r="L41" s="43">
        <f ca="1">14.8*OFFSET(L$112,MATCH($N$1,$C$112:$C$113,0)-1,0)</f>
        <v>14.8</v>
      </c>
      <c r="M41" s="43">
        <f ca="1">7.7*OFFSET(M$112,MATCH($N$1,$C$112:$C$113,0)-1,0)</f>
        <v>7.7</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163</v>
      </c>
      <c r="F46" s="90" t="s">
        <v>159</v>
      </c>
      <c r="G46" s="90" t="s">
        <v>159</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UK scallop dredge under 15m</v>
      </c>
      <c r="B48" s="202"/>
      <c r="C48" s="92"/>
      <c r="D48" s="92"/>
      <c r="E48" s="92"/>
      <c r="F48" s="92"/>
      <c r="G48" s="92"/>
      <c r="H48" s="202"/>
      <c r="I48" s="202"/>
      <c r="J48" s="202"/>
      <c r="K48" s="92" t="str">
        <f>$B24&amp;CHAR(10)&amp;$A$1</f>
        <v>Operating profit per kW day at sea (£)
UK scallop dredge under 15m</v>
      </c>
      <c r="L48" s="202"/>
      <c r="M48" s="202"/>
      <c r="N48" s="202"/>
      <c r="O48" s="202"/>
      <c r="P48" s="202"/>
    </row>
    <row r="49" spans="1:11" s="80" customFormat="1">
      <c r="A49" s="92" t="str">
        <f>$B22&amp;CHAR(10)&amp;$A$1</f>
        <v>Fishing income per kW day at sea (£)
UK scallop dredge under 15m</v>
      </c>
      <c r="B49" s="202"/>
      <c r="C49" s="202"/>
      <c r="D49" s="202"/>
      <c r="E49" s="202"/>
      <c r="F49" s="202"/>
      <c r="G49" s="202"/>
      <c r="H49" s="202"/>
      <c r="I49" s="202"/>
      <c r="J49" s="202"/>
      <c r="K49" s="202"/>
    </row>
    <row r="50" spans="1:11" s="80" customFormat="1">
      <c r="A50" s="92" t="str">
        <f>$B20&amp;CHAR(10)&amp;$A$1</f>
        <v>Average price per tonne landed (£)
UK scallop dredge under 15m</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UK scallop dredge under 15m</v>
      </c>
      <c r="C62" s="202"/>
      <c r="D62" s="202"/>
      <c r="E62" s="202"/>
      <c r="F62" s="92" t="str">
        <f>$B20&amp;CHAR(10)&amp;$A$1</f>
        <v>Average price per tonne landed (£)
UK scallop dredge under 15m</v>
      </c>
      <c r="G62" s="202"/>
      <c r="H62" s="202"/>
      <c r="I62" s="202"/>
      <c r="J62" s="202"/>
      <c r="K62" s="92" t="str">
        <f>"Average annual operating profit per vessel (£'000)"&amp;CHAR(10)&amp;$A$1</f>
        <v>Average annual operating profit per vessel (£'000)
UK scallop dredge under 15m</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UK scallop dredge under 15m</v>
      </c>
      <c r="F76" s="92" t="str">
        <f>"Top 5 landed species by value in "&amp;A77&amp;CHAR(10)&amp;A1</f>
        <v>Top 5 landed species by value in 2019
UK scallop dredge under 15m</v>
      </c>
    </row>
    <row r="77" spans="1:11" s="92" customFormat="1">
      <c r="A77" s="92">
        <v>2019</v>
      </c>
      <c r="B77" s="92" t="s">
        <v>559</v>
      </c>
      <c r="C77" s="93">
        <v>0.50692333207351647</v>
      </c>
      <c r="D77" s="94">
        <v>553960</v>
      </c>
      <c r="G77" s="92" t="s">
        <v>560</v>
      </c>
      <c r="H77" s="93">
        <v>0.51519515154658824</v>
      </c>
      <c r="I77" s="94">
        <v>12153634</v>
      </c>
      <c r="K77" s="92" t="s">
        <v>230</v>
      </c>
    </row>
    <row r="78" spans="1:11" s="92" customFormat="1">
      <c r="B78" s="92" t="s">
        <v>561</v>
      </c>
      <c r="C78" s="93">
        <v>0.40784507514664858</v>
      </c>
      <c r="D78" s="94">
        <v>12153634</v>
      </c>
      <c r="G78" s="92" t="s">
        <v>562</v>
      </c>
      <c r="H78" s="93">
        <v>0.3168496362107564</v>
      </c>
      <c r="I78" s="94">
        <v>553960</v>
      </c>
    </row>
    <row r="79" spans="1:11" s="92" customFormat="1">
      <c r="B79" s="92" t="s">
        <v>563</v>
      </c>
      <c r="C79" s="93">
        <v>2.3365221458669729E-2</v>
      </c>
      <c r="D79" s="94">
        <v>11115023</v>
      </c>
      <c r="G79" s="92" t="s">
        <v>564</v>
      </c>
      <c r="H79" s="93">
        <v>2.4174034949927117E-2</v>
      </c>
      <c r="I79" s="94">
        <v>3050596</v>
      </c>
    </row>
    <row r="80" spans="1:11" s="92" customFormat="1">
      <c r="B80" s="92" t="s">
        <v>565</v>
      </c>
      <c r="C80" s="93">
        <v>8.687742429149237E-3</v>
      </c>
      <c r="D80" s="94">
        <v>3689192</v>
      </c>
      <c r="G80" s="92" t="s">
        <v>566</v>
      </c>
      <c r="H80" s="93">
        <v>2.2961552206092813E-2</v>
      </c>
      <c r="I80" s="94">
        <v>1692097</v>
      </c>
    </row>
    <row r="81" spans="1:19" s="92" customFormat="1">
      <c r="B81" s="92" t="s">
        <v>567</v>
      </c>
      <c r="C81" s="93">
        <v>8.5861304962952401E-3</v>
      </c>
      <c r="D81" s="94">
        <v>2480382</v>
      </c>
      <c r="G81" s="92" t="s">
        <v>568</v>
      </c>
      <c r="H81" s="93">
        <v>2.1041070251040545E-2</v>
      </c>
      <c r="I81" s="94">
        <v>3689192</v>
      </c>
    </row>
    <row r="82" spans="1:19" s="92" customFormat="1">
      <c r="B82" s="92" t="s">
        <v>569</v>
      </c>
      <c r="C82" s="93">
        <v>4.459249839572077E-2</v>
      </c>
      <c r="D82" s="94">
        <v>5920853</v>
      </c>
      <c r="G82" s="92" t="s">
        <v>570</v>
      </c>
      <c r="H82" s="93">
        <v>9.9778554835594835E-2</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172</v>
      </c>
      <c r="D92" s="98">
        <v>0.67880209036588246</v>
      </c>
      <c r="E92" s="98">
        <v>0.78867670221226127</v>
      </c>
      <c r="F92" s="98">
        <v>0.62817239922982482</v>
      </c>
      <c r="G92" s="98">
        <v>0.58764601005496475</v>
      </c>
      <c r="H92" s="98">
        <v>0.64152355260442473</v>
      </c>
      <c r="I92" s="98">
        <v>0.74493555865772021</v>
      </c>
      <c r="J92" s="98">
        <v>0.70645041176600065</v>
      </c>
      <c r="K92" s="98">
        <v>0.6684537411584851</v>
      </c>
      <c r="L92" s="98">
        <v>0.51519515154658824</v>
      </c>
      <c r="M92" s="98">
        <v>0.52271428190419245</v>
      </c>
      <c r="O92" s="92">
        <v>12153634</v>
      </c>
    </row>
    <row r="93" spans="1:19" s="92" customFormat="1" hidden="1">
      <c r="B93" s="92">
        <v>2</v>
      </c>
      <c r="C93" s="92" t="s">
        <v>377</v>
      </c>
      <c r="D93" s="98">
        <v>0.11717420787158288</v>
      </c>
      <c r="E93" s="98">
        <v>4.8471725446773438E-2</v>
      </c>
      <c r="F93" s="98">
        <v>0.20863348629009296</v>
      </c>
      <c r="G93" s="98">
        <v>0.30023936520980943</v>
      </c>
      <c r="H93" s="98">
        <v>0.19686152009018201</v>
      </c>
      <c r="I93" s="98">
        <v>0.12233488914876457</v>
      </c>
      <c r="J93" s="98">
        <v>0.13547984459816786</v>
      </c>
      <c r="K93" s="98">
        <v>0.19798146267145555</v>
      </c>
      <c r="L93" s="98">
        <v>0.3168496362107564</v>
      </c>
      <c r="M93" s="98">
        <v>0.32657120363887476</v>
      </c>
      <c r="O93" s="92">
        <v>553960</v>
      </c>
    </row>
    <row r="94" spans="1:19" s="92" customFormat="1" hidden="1">
      <c r="B94" s="92">
        <v>3</v>
      </c>
      <c r="C94" s="92" t="s">
        <v>297</v>
      </c>
      <c r="D94" s="98"/>
      <c r="E94" s="98"/>
      <c r="F94" s="98"/>
      <c r="G94" s="98"/>
      <c r="H94" s="98">
        <v>2.7760692307386488E-2</v>
      </c>
      <c r="I94" s="98"/>
      <c r="J94" s="98"/>
      <c r="K94" s="98"/>
      <c r="L94" s="98">
        <v>2.4174034949927117E-2</v>
      </c>
      <c r="M94" s="98"/>
      <c r="O94" s="92">
        <v>3050596</v>
      </c>
    </row>
    <row r="95" spans="1:19" s="92" customFormat="1" hidden="1">
      <c r="B95" s="92">
        <v>4</v>
      </c>
      <c r="C95" s="92" t="s">
        <v>171</v>
      </c>
      <c r="D95" s="98">
        <v>1.9017538318456817E-2</v>
      </c>
      <c r="E95" s="98"/>
      <c r="F95" s="98">
        <v>1.0927562568264619E-2</v>
      </c>
      <c r="G95" s="98"/>
      <c r="H95" s="98"/>
      <c r="I95" s="98"/>
      <c r="J95" s="98"/>
      <c r="K95" s="98"/>
      <c r="L95" s="98">
        <v>2.2961552206092813E-2</v>
      </c>
      <c r="M95" s="98">
        <v>1.8429903600941034E-2</v>
      </c>
      <c r="O95" s="92">
        <v>1692097</v>
      </c>
    </row>
    <row r="96" spans="1:19" s="92" customFormat="1" hidden="1">
      <c r="B96" s="92">
        <v>5</v>
      </c>
      <c r="C96" s="92" t="s">
        <v>571</v>
      </c>
      <c r="D96" s="98">
        <v>2.7726460863381919E-2</v>
      </c>
      <c r="E96" s="98">
        <v>2.1093047312016645E-2</v>
      </c>
      <c r="F96" s="98">
        <v>1.2119588158582566E-2</v>
      </c>
      <c r="G96" s="98">
        <v>1.0334909089839974E-2</v>
      </c>
      <c r="H96" s="98">
        <v>2.5785374445804594E-2</v>
      </c>
      <c r="I96" s="98">
        <v>1.7788174974041282E-2</v>
      </c>
      <c r="J96" s="98">
        <v>1.7076207856514494E-2</v>
      </c>
      <c r="K96" s="98">
        <v>2.1108349993125816E-2</v>
      </c>
      <c r="L96" s="98">
        <v>2.1041070251040545E-2</v>
      </c>
      <c r="M96" s="98">
        <v>3.6441354376989865E-2</v>
      </c>
      <c r="O96" s="92">
        <v>3689192</v>
      </c>
    </row>
    <row r="97" spans="1:15" s="92" customFormat="1" hidden="1">
      <c r="B97" s="92">
        <v>6</v>
      </c>
      <c r="C97" s="92" t="s">
        <v>243</v>
      </c>
      <c r="D97" s="98">
        <v>5.6617633983921674E-2</v>
      </c>
      <c r="E97" s="98">
        <v>5.365085951782942E-2</v>
      </c>
      <c r="F97" s="98">
        <v>6.689289940242453E-2</v>
      </c>
      <c r="G97" s="98">
        <v>3.5317946210666487E-2</v>
      </c>
      <c r="H97" s="98">
        <v>4.1250719681486053E-2</v>
      </c>
      <c r="I97" s="98">
        <v>4.1984327327435227E-2</v>
      </c>
      <c r="J97" s="98">
        <v>3.9747335517461936E-2</v>
      </c>
      <c r="K97" s="98">
        <v>2.4486952070146485E-2</v>
      </c>
      <c r="L97" s="98"/>
      <c r="M97" s="98">
        <v>1.9514610073140908E-2</v>
      </c>
      <c r="O97" s="92">
        <v>11115023</v>
      </c>
    </row>
    <row r="98" spans="1:15" s="92" customFormat="1" hidden="1">
      <c r="B98" s="92">
        <v>7</v>
      </c>
      <c r="C98" s="92" t="s">
        <v>173</v>
      </c>
      <c r="D98" s="98"/>
      <c r="E98" s="98"/>
      <c r="F98" s="98"/>
      <c r="G98" s="98"/>
      <c r="H98" s="98"/>
      <c r="I98" s="98"/>
      <c r="J98" s="98">
        <v>1.5519442079912564E-2</v>
      </c>
      <c r="K98" s="98">
        <v>1.268155529860091E-2</v>
      </c>
      <c r="L98" s="98"/>
      <c r="M98" s="98"/>
      <c r="O98" s="92">
        <v>2480382</v>
      </c>
    </row>
    <row r="99" spans="1:15" s="92" customFormat="1" hidden="1">
      <c r="B99" s="92">
        <v>8</v>
      </c>
      <c r="C99" s="92" t="s">
        <v>160</v>
      </c>
      <c r="D99" s="98"/>
      <c r="E99" s="98">
        <v>2.0845430011821271E-2</v>
      </c>
      <c r="F99" s="98"/>
      <c r="G99" s="98">
        <v>7.6106346343076245E-3</v>
      </c>
      <c r="H99" s="98"/>
      <c r="I99" s="98">
        <v>1.3414432075319161E-2</v>
      </c>
      <c r="J99" s="98"/>
      <c r="K99" s="98"/>
      <c r="L99" s="98"/>
      <c r="M99" s="98"/>
      <c r="O99" s="92">
        <v>7434864</v>
      </c>
    </row>
    <row r="100" spans="1:15" s="92" customFormat="1" hidden="1">
      <c r="B100" s="92">
        <v>9</v>
      </c>
      <c r="C100" s="92" t="s">
        <v>245</v>
      </c>
      <c r="D100" s="98">
        <v>0.10066206859677429</v>
      </c>
      <c r="E100" s="98">
        <v>6.7262235499297995E-2</v>
      </c>
      <c r="F100" s="98">
        <v>7.3254064350810527E-2</v>
      </c>
      <c r="G100" s="98">
        <v>5.8851134800411785E-2</v>
      </c>
      <c r="H100" s="98">
        <v>6.6818140870716108E-2</v>
      </c>
      <c r="I100" s="98">
        <v>5.9542617816719517E-2</v>
      </c>
      <c r="J100" s="98">
        <v>8.5726758181942517E-2</v>
      </c>
      <c r="K100" s="98">
        <v>7.52879388081861E-2</v>
      </c>
      <c r="L100" s="98">
        <v>9.9778554835594863E-2</v>
      </c>
      <c r="M100" s="98">
        <v>7.6328646405860942E-2</v>
      </c>
      <c r="O100" s="92">
        <v>5920853</v>
      </c>
    </row>
    <row r="101" spans="1:15" s="92" customFormat="1" hidden="1">
      <c r="B101" s="92">
        <v>10</v>
      </c>
      <c r="D101" s="98"/>
      <c r="E101" s="98"/>
      <c r="F101" s="98"/>
      <c r="G101" s="98"/>
      <c r="H101" s="98"/>
      <c r="I101" s="98"/>
      <c r="J101" s="98"/>
      <c r="K101" s="98"/>
      <c r="L101" s="98"/>
      <c r="M101" s="98"/>
      <c r="O101" s="92">
        <v>14393110</v>
      </c>
    </row>
    <row r="102" spans="1:15" s="92" customFormat="1" hidden="1">
      <c r="B102" s="92">
        <v>11</v>
      </c>
      <c r="D102" s="98"/>
      <c r="E102" s="98"/>
      <c r="F102" s="98"/>
      <c r="G102" s="98"/>
      <c r="H102" s="98"/>
      <c r="I102" s="98"/>
      <c r="J102" s="98"/>
      <c r="K102" s="98"/>
      <c r="L102" s="98"/>
      <c r="M102" s="98"/>
      <c r="O102" s="92">
        <v>2887140</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10</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47</v>
      </c>
      <c r="D120" s="54">
        <v>94</v>
      </c>
      <c r="E120" s="54">
        <v>47</v>
      </c>
      <c r="F120" s="55">
        <v>188</v>
      </c>
    </row>
    <row r="121" spans="1:15" ht="18" customHeight="1">
      <c r="A121" s="173" t="s">
        <v>191</v>
      </c>
      <c r="B121" s="33" t="s">
        <v>192</v>
      </c>
      <c r="C121" s="56">
        <v>10.867446899414063</v>
      </c>
      <c r="D121" s="56">
        <v>11.271170139312744</v>
      </c>
      <c r="E121" s="56">
        <v>10.075106620788574</v>
      </c>
      <c r="F121" s="57">
        <v>10.871223449707031</v>
      </c>
      <c r="G121" s="206"/>
      <c r="H121" s="206"/>
      <c r="I121" s="206"/>
      <c r="J121" s="206"/>
      <c r="K121" s="206"/>
      <c r="L121" s="206"/>
      <c r="M121" s="206"/>
      <c r="N121" s="206"/>
      <c r="O121" s="206"/>
    </row>
    <row r="122" spans="1:15" ht="18" customHeight="1">
      <c r="A122" s="174"/>
      <c r="B122" s="35" t="s">
        <v>184</v>
      </c>
      <c r="C122" s="58">
        <v>129.06382751464844</v>
      </c>
      <c r="D122" s="58">
        <v>149.7872314453125</v>
      </c>
      <c r="E122" s="58">
        <v>122.29787445068359</v>
      </c>
      <c r="F122" s="59">
        <v>137.73403930664063</v>
      </c>
      <c r="G122" s="206"/>
      <c r="H122" s="206"/>
      <c r="I122" s="206"/>
      <c r="J122" s="206"/>
      <c r="K122" s="206"/>
      <c r="L122" s="206"/>
      <c r="M122" s="206"/>
      <c r="N122" s="206"/>
      <c r="O122" s="206"/>
    </row>
    <row r="123" spans="1:15" ht="18" customHeight="1">
      <c r="A123" s="174"/>
      <c r="B123" s="35" t="s">
        <v>185</v>
      </c>
      <c r="C123" s="58">
        <v>15.872340202331543</v>
      </c>
      <c r="D123" s="58">
        <v>21.93617057800293</v>
      </c>
      <c r="E123" s="58">
        <v>15.659574508666992</v>
      </c>
      <c r="F123" s="59">
        <v>18.851064682006836</v>
      </c>
      <c r="G123" s="206"/>
      <c r="H123" s="206"/>
      <c r="I123" s="206"/>
      <c r="J123" s="206"/>
      <c r="K123" s="206"/>
      <c r="L123" s="206"/>
      <c r="M123" s="206"/>
      <c r="N123" s="206"/>
      <c r="O123" s="206"/>
    </row>
    <row r="124" spans="1:15" ht="18" customHeight="1">
      <c r="A124" s="174"/>
      <c r="B124" s="35" t="s">
        <v>186</v>
      </c>
      <c r="C124" s="58">
        <v>105.66249847412109</v>
      </c>
      <c r="D124" s="58">
        <v>121.21815490722656</v>
      </c>
      <c r="E124" s="58">
        <v>98.546669006347656</v>
      </c>
      <c r="F124" s="59">
        <v>111.66136932373047</v>
      </c>
      <c r="G124" s="206"/>
      <c r="H124" s="206"/>
      <c r="I124" s="206"/>
      <c r="J124" s="206"/>
      <c r="K124" s="206"/>
      <c r="L124" s="206"/>
      <c r="M124" s="206"/>
      <c r="N124" s="206"/>
      <c r="O124" s="206"/>
    </row>
    <row r="125" spans="1:15" ht="18" customHeight="1">
      <c r="A125" s="174"/>
      <c r="B125" s="35" t="s">
        <v>187</v>
      </c>
      <c r="C125" s="31">
        <v>239.68505859375</v>
      </c>
      <c r="D125" s="31">
        <v>66.655471801757813</v>
      </c>
      <c r="E125" s="31">
        <v>29.538593292236328</v>
      </c>
      <c r="F125" s="60">
        <v>100.63365173339844</v>
      </c>
      <c r="G125" s="206"/>
      <c r="H125" s="206"/>
      <c r="I125" s="206"/>
      <c r="J125" s="206"/>
      <c r="K125" s="206"/>
      <c r="L125" s="206"/>
      <c r="M125" s="206"/>
      <c r="N125" s="206"/>
      <c r="O125" s="206"/>
    </row>
    <row r="126" spans="1:15" ht="18" customHeight="1">
      <c r="A126" s="174"/>
      <c r="B126" s="35" t="s">
        <v>193</v>
      </c>
      <c r="C126" s="31">
        <f ca="1">360.69409375*OFFSET($L$112,MATCH($N$1,$C$112:$C$113,0)-1,0)</f>
        <v>360.69409374999998</v>
      </c>
      <c r="D126" s="31">
        <f ca="1">151.4455625*OFFSET($L$112,MATCH($N$1,$C$112:$C$113,0)-1,0)</f>
        <v>151.44556249999999</v>
      </c>
      <c r="E126" s="31">
        <f ca="1">59.30317578125*OFFSET($L$112,MATCH($N$1,$C$112:$C$113,0)-1,0)</f>
        <v>59.303175781249998</v>
      </c>
      <c r="F126" s="60">
        <f ca="1">180.72209375*OFFSET($L$112,MATCH($N$1,$C$112:$C$113,0)-1,0)</f>
        <v>180.72209375</v>
      </c>
      <c r="G126" s="206"/>
      <c r="H126" s="206"/>
      <c r="I126" s="206"/>
      <c r="J126" s="206"/>
      <c r="K126" s="206"/>
      <c r="L126" s="206"/>
      <c r="M126" s="206"/>
      <c r="N126" s="206"/>
      <c r="O126" s="206"/>
    </row>
    <row r="127" spans="1:15" ht="18" customHeight="1">
      <c r="A127" s="174"/>
      <c r="B127" s="35" t="s">
        <v>189</v>
      </c>
      <c r="C127" s="58">
        <v>79.297874450683594</v>
      </c>
      <c r="D127" s="58">
        <v>113.73404312133789</v>
      </c>
      <c r="E127" s="58">
        <v>91.361701965332031</v>
      </c>
      <c r="F127" s="59">
        <v>99.531913757324219</v>
      </c>
      <c r="G127" s="206"/>
      <c r="H127" s="206"/>
      <c r="I127" s="206"/>
      <c r="J127" s="206"/>
      <c r="K127" s="206"/>
      <c r="L127" s="206"/>
      <c r="M127" s="206"/>
      <c r="N127" s="206"/>
      <c r="O127" s="206"/>
    </row>
    <row r="128" spans="1:15" ht="18" customHeight="1">
      <c r="A128" s="174"/>
      <c r="B128" s="35" t="s">
        <v>194</v>
      </c>
      <c r="C128" s="58">
        <v>24.531915664672852</v>
      </c>
      <c r="D128" s="58">
        <v>25.755318641662598</v>
      </c>
      <c r="E128" s="58">
        <v>27.93617057800293</v>
      </c>
      <c r="F128" s="59">
        <v>25.994680404663086</v>
      </c>
      <c r="G128" s="206"/>
      <c r="H128" s="206"/>
      <c r="I128" s="206"/>
      <c r="J128" s="206"/>
      <c r="K128" s="206"/>
      <c r="L128" s="206"/>
      <c r="M128" s="206"/>
      <c r="N128" s="206"/>
      <c r="O128" s="206"/>
    </row>
    <row r="129" spans="1:15" ht="18" customHeight="1">
      <c r="A129" s="174"/>
      <c r="B129" s="35" t="s">
        <v>195</v>
      </c>
      <c r="C129" s="61">
        <v>3.0225911140441895</v>
      </c>
      <c r="D129" s="61">
        <v>0.58606438294509589</v>
      </c>
      <c r="E129" s="61">
        <v>0.3233148455619812</v>
      </c>
      <c r="F129" s="62">
        <v>1.0110691785812378</v>
      </c>
      <c r="G129" s="206"/>
      <c r="H129" s="206"/>
      <c r="I129" s="206"/>
      <c r="J129" s="206"/>
      <c r="K129" s="206"/>
      <c r="L129" s="206"/>
      <c r="M129" s="206"/>
      <c r="N129" s="206"/>
      <c r="O129" s="206"/>
    </row>
    <row r="130" spans="1:15" ht="18" customHeight="1">
      <c r="A130" s="175"/>
      <c r="B130" s="37" t="s">
        <v>196</v>
      </c>
      <c r="C130" s="38">
        <f ca="1">1504.86682760377*OFFSET($L$112,MATCH($N$1,$C$112:$C$113,0)-1,0)</f>
        <v>1504.8668276037699</v>
      </c>
      <c r="D130" s="38">
        <f ca="1">2272.06496940595*OFFSET($L$112,MATCH($N$1,$C$112:$C$113,0)-1,0)</f>
        <v>2272.0649694059498</v>
      </c>
      <c r="E130" s="38">
        <f ca="1">2007.65064180753*OFFSET($L$112,MATCH($N$1,$C$112:$C$113,0)-1,0)</f>
        <v>2007.6506418075301</v>
      </c>
      <c r="F130" s="63">
        <f ca="1">1796*OFFSET($L$112,MATCH($N$1,$C$112:$C$113,0)-1,0)</f>
        <v>1796</v>
      </c>
      <c r="G130" s="206"/>
      <c r="H130" s="206"/>
      <c r="I130" s="206"/>
      <c r="J130" s="206"/>
      <c r="K130" s="206"/>
      <c r="L130" s="206"/>
      <c r="M130" s="206"/>
      <c r="N130" s="206"/>
      <c r="O130" s="206"/>
    </row>
    <row r="131" spans="1:15" ht="18" customHeight="1">
      <c r="A131" s="184" t="s">
        <v>197</v>
      </c>
      <c r="B131" s="33" t="s">
        <v>198</v>
      </c>
      <c r="C131" s="64">
        <v>20.627017634329945</v>
      </c>
      <c r="D131" s="64">
        <v>3.4978654077873461</v>
      </c>
      <c r="E131" s="64">
        <v>2.4314962815353747</v>
      </c>
      <c r="F131" s="65">
        <v>6.5050459562438174</v>
      </c>
      <c r="G131" s="206"/>
      <c r="H131" s="206"/>
      <c r="I131" s="206"/>
      <c r="J131" s="206"/>
      <c r="K131" s="206"/>
      <c r="L131" s="206"/>
      <c r="M131" s="206"/>
      <c r="N131" s="206"/>
      <c r="O131" s="206"/>
    </row>
    <row r="132" spans="1:15" ht="18" customHeight="1">
      <c r="A132" s="185"/>
      <c r="B132" s="35" t="s">
        <v>199</v>
      </c>
      <c r="C132" s="61">
        <f ca="1">31.0409145903011*OFFSET($L$112,MATCH($N$1,$C$112:$C$113,0)-1,0)</f>
        <v>31.040914590301099</v>
      </c>
      <c r="D132" s="61">
        <f ca="1">7.94737746073049*OFFSET($L$112,MATCH($N$1,$C$112:$C$113,0)-1,0)</f>
        <v>7.9473774607304897</v>
      </c>
      <c r="E132" s="61">
        <f ca="1">4.88159507017713*OFFSET($L$112,MATCH($N$1,$C$112:$C$113,0)-1,0)</f>
        <v>4.8815950701771298</v>
      </c>
      <c r="F132" s="62">
        <f ca="1">11.6820318541833*OFFSET($L$112,MATCH($N$1,$C$112:$C$113,0)-1,0)</f>
        <v>11.6820318541833</v>
      </c>
      <c r="G132" s="206"/>
      <c r="H132" s="206"/>
      <c r="I132" s="206"/>
      <c r="J132" s="206"/>
      <c r="K132" s="206"/>
      <c r="L132" s="206"/>
      <c r="M132" s="206"/>
      <c r="N132" s="206"/>
      <c r="O132" s="206"/>
    </row>
    <row r="133" spans="1:15" ht="18" customHeight="1">
      <c r="A133" s="185"/>
      <c r="B133" s="35" t="s">
        <v>154</v>
      </c>
      <c r="C133" s="61">
        <f ca="1">23.1962723076442*OFFSET($L$112,MATCH($N$1,$C$112:$C$113,0)-1,0)</f>
        <v>23.1962723076442</v>
      </c>
      <c r="D133" s="61">
        <f ca="1">7.21816281258187*OFFSET($L$112,MATCH($N$1,$C$112:$C$113,0)-1,0)</f>
        <v>7.2181628125818698</v>
      </c>
      <c r="E133" s="61">
        <f ca="1">5.39171016052487*OFFSET($L$112,MATCH($N$1,$C$112:$C$113,0)-1,0)</f>
        <v>5.3917101605248696</v>
      </c>
      <c r="F133" s="62">
        <f ca="1">9.85997968736675*OFFSET($L$112,MATCH($N$1,$C$112:$C$113,0)-1,0)</f>
        <v>9.8599796873667493</v>
      </c>
      <c r="G133" s="206"/>
      <c r="H133" s="206"/>
      <c r="I133" s="206"/>
      <c r="J133" s="206"/>
      <c r="K133" s="206"/>
      <c r="L133" s="206"/>
      <c r="M133" s="206"/>
      <c r="N133" s="206"/>
      <c r="O133" s="206"/>
    </row>
    <row r="134" spans="1:15" ht="18" customHeight="1">
      <c r="A134" s="186"/>
      <c r="B134" s="37" t="s">
        <v>155</v>
      </c>
      <c r="C134" s="66">
        <f ca="1">7.84464228265689*OFFSET($L$112,MATCH($N$1,$C$112:$C$113,0)-1,0)</f>
        <v>7.8446422826568902</v>
      </c>
      <c r="D134" s="66">
        <f ca="1">0.729214648148611*OFFSET($L$112,MATCH($N$1,$C$112:$C$113,0)-1,0)</f>
        <v>0.72921464814861103</v>
      </c>
      <c r="E134" s="66">
        <f ca="1">-0.510115090347744*OFFSET($L$112,MATCH($N$1,$C$112:$C$113,0)-1,0)</f>
        <v>-0.51011509034774405</v>
      </c>
      <c r="F134" s="67">
        <f ca="1">1.8220521668166*OFFSET($L$112,MATCH($N$1,$C$112:$C$113,0)-1,0)</f>
        <v>1.8220521668166001</v>
      </c>
      <c r="G134" s="206"/>
      <c r="H134" s="206"/>
      <c r="I134" s="206"/>
      <c r="J134" s="206"/>
      <c r="K134" s="206"/>
      <c r="L134" s="206"/>
      <c r="M134" s="206"/>
      <c r="N134" s="206"/>
      <c r="O134" s="206"/>
    </row>
    <row r="135" spans="1:15" ht="18" customHeight="1">
      <c r="A135" s="187" t="s">
        <v>254</v>
      </c>
      <c r="B135" s="35" t="s">
        <v>255</v>
      </c>
      <c r="C135" s="68">
        <f ca="1">19.94787890625*OFFSET($L$112,MATCH($N$1,$C$112:$C$113,0)-1,0)</f>
        <v>19.947878906250001</v>
      </c>
      <c r="D135" s="68">
        <f ca="1">32.752861328125*OFFSET($L$112,MATCH($N$1,$C$112:$C$113,0)-1,0)</f>
        <v>32.752861328125</v>
      </c>
      <c r="E135" s="68">
        <f ca="1">24.46381640625*OFFSET($L$112,MATCH($N$1,$C$112:$C$113,0)-1,0)</f>
        <v>24.46381640625</v>
      </c>
      <c r="F135" s="69">
        <f ca="1">27.479353515625*OFFSET($L$112,MATCH($N$1,$C$112:$C$113,0)-1,0)</f>
        <v>27.479353515625</v>
      </c>
      <c r="G135" s="206"/>
      <c r="H135" s="206"/>
      <c r="I135" s="206"/>
      <c r="J135" s="206"/>
      <c r="K135" s="206"/>
      <c r="L135" s="206"/>
      <c r="M135" s="206"/>
      <c r="N135" s="206"/>
      <c r="O135" s="206"/>
    </row>
    <row r="136" spans="1:15" ht="18" customHeight="1">
      <c r="A136" s="188"/>
      <c r="B136" s="35" t="s">
        <v>256</v>
      </c>
      <c r="C136" s="30">
        <v>37808.511676266091</v>
      </c>
      <c r="D136" s="30">
        <v>62463.828575904481</v>
      </c>
      <c r="E136" s="30">
        <v>46554.254689714173</v>
      </c>
      <c r="F136" s="70">
        <v>52322.606382978724</v>
      </c>
      <c r="G136" s="206"/>
      <c r="H136" s="206"/>
      <c r="I136" s="206"/>
      <c r="J136" s="206"/>
      <c r="K136" s="206"/>
      <c r="L136" s="206"/>
      <c r="M136" s="206"/>
      <c r="N136" s="206"/>
      <c r="O136" s="206"/>
    </row>
    <row r="137" spans="1:15" ht="18" customHeight="1">
      <c r="A137" s="188"/>
      <c r="B137" s="35" t="s">
        <v>257</v>
      </c>
      <c r="C137" s="30">
        <v>476.79098510742188</v>
      </c>
      <c r="D137" s="30">
        <v>549.20960217042966</v>
      </c>
      <c r="E137" s="30">
        <v>509.55984497070313</v>
      </c>
      <c r="F137" s="70">
        <v>525.68670654296875</v>
      </c>
      <c r="G137" s="206"/>
      <c r="H137" s="206"/>
      <c r="I137" s="206"/>
      <c r="J137" s="206"/>
      <c r="K137" s="206"/>
      <c r="L137" s="206"/>
      <c r="M137" s="206"/>
      <c r="N137" s="206"/>
      <c r="O137" s="206"/>
    </row>
    <row r="138" spans="1:15" ht="18" customHeight="1">
      <c r="A138" s="188"/>
      <c r="B138" s="35" t="s">
        <v>258</v>
      </c>
      <c r="C138" s="30">
        <f ca="1">251.556287535246*OFFSET($L$112,MATCH($N$1,$C$112:$C$113,0)-1,0)</f>
        <v>251.55628753524601</v>
      </c>
      <c r="D138" s="30">
        <f ca="1">287.97764002096*OFFSET($L$112,MATCH($N$1,$C$112:$C$113,0)-1,0)</f>
        <v>287.97764002096</v>
      </c>
      <c r="E138" s="30">
        <f ca="1">267.768833986182*OFFSET($L$112,MATCH($N$1,$C$112:$C$113,0)-1,0)</f>
        <v>267.76883398618202</v>
      </c>
      <c r="F138" s="70">
        <f ca="1">276.085855061768*OFFSET($L$112,MATCH($N$1,$C$112:$C$113,0)-1,0)</f>
        <v>276.08585506176797</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83.2253750954927*OFFSET($L$112,MATCH($N$1,$C$112:$C$113,0)-1,0)</f>
        <v>83.225375095492694</v>
      </c>
      <c r="D139" s="30">
        <f ca="1">491.375433145779*OFFSET($L$112,MATCH($N$1,$C$112:$C$113,0)-1,0)</f>
        <v>491.37543314577903</v>
      </c>
      <c r="E139" s="30">
        <f ca="1">828.19842381187*OFFSET($L$112,MATCH($N$1,$C$112:$C$113,0)-1,0)</f>
        <v>828.19842381187004</v>
      </c>
      <c r="F139" s="70">
        <f ca="1">273.063265044024*OFFSET($L$112,MATCH($N$1,$C$112:$C$113,0)-1,0)</f>
        <v>273.06326504402398</v>
      </c>
      <c r="G139" s="206"/>
      <c r="H139" s="206"/>
      <c r="I139" s="46"/>
      <c r="J139" s="206"/>
      <c r="K139" s="71" t="s">
        <v>260</v>
      </c>
      <c r="L139" s="72">
        <f t="shared" ref="L139:M141" ca="1" si="2">C140</f>
        <v>375.73165625000001</v>
      </c>
      <c r="M139" s="72">
        <f t="shared" ca="1" si="2"/>
        <v>157.75941406250001</v>
      </c>
      <c r="N139" s="72">
        <f ca="1">E140</f>
        <v>61.775558593749999</v>
      </c>
      <c r="O139" s="72"/>
    </row>
    <row r="140" spans="1:15" ht="18" customHeight="1">
      <c r="A140" s="166" t="s">
        <v>261</v>
      </c>
      <c r="B140" s="33" t="s">
        <v>262</v>
      </c>
      <c r="C140" s="73">
        <f ca="1">375.73165625*OFFSET($L$112,MATCH($N$1,$C$112:$C$113,0)-1,0)</f>
        <v>375.73165625000001</v>
      </c>
      <c r="D140" s="73">
        <f ca="1">157.7594140625*OFFSET($L$112,MATCH($N$1,$C$112:$C$113,0)-1,0)</f>
        <v>157.75941406250001</v>
      </c>
      <c r="E140" s="73">
        <f ca="1">61.77555859375*OFFSET($L$112,MATCH($N$1,$C$112:$C$113,0)-1,0)</f>
        <v>61.775558593749999</v>
      </c>
      <c r="F140" s="74">
        <f ca="1">188.256515625*OFFSET($L$112,MATCH($N$1,$C$112:$C$113,0)-1,0)</f>
        <v>188.25651562499999</v>
      </c>
      <c r="G140" s="206"/>
      <c r="H140" s="206"/>
      <c r="I140" s="46"/>
      <c r="J140" s="206"/>
      <c r="K140" s="71" t="s">
        <v>263</v>
      </c>
      <c r="L140" s="72">
        <f t="shared" ca="1" si="2"/>
        <v>284.57724999999999</v>
      </c>
      <c r="M140" s="72">
        <f t="shared" ca="1" si="2"/>
        <v>143.86346875000001</v>
      </c>
      <c r="N140" s="72">
        <f ca="1">E141</f>
        <v>67.972601562500003</v>
      </c>
      <c r="O140" s="72"/>
    </row>
    <row r="141" spans="1:15" ht="18" customHeight="1">
      <c r="A141" s="167"/>
      <c r="B141" s="35" t="s">
        <v>264</v>
      </c>
      <c r="C141" s="30">
        <f ca="1">284.57725*OFFSET($L$112,MATCH($N$1,$C$112:$C$113,0)-1,0)</f>
        <v>284.57724999999999</v>
      </c>
      <c r="D141" s="30">
        <f ca="1">143.86346875*OFFSET($L$112,MATCH($N$1,$C$112:$C$113,0)-1,0)</f>
        <v>143.86346875000001</v>
      </c>
      <c r="E141" s="30">
        <f ca="1">67.9726015625*OFFSET($L$112,MATCH($N$1,$C$112:$C$113,0)-1,0)</f>
        <v>67.972601562500003</v>
      </c>
      <c r="F141" s="70">
        <f ca="1">160.069203125*OFFSET($L$112,MATCH($N$1,$C$112:$C$113,0)-1,0)</f>
        <v>160.069203125</v>
      </c>
      <c r="G141" s="206"/>
      <c r="H141" s="206"/>
      <c r="I141" s="46"/>
      <c r="J141" s="206"/>
      <c r="K141" s="71" t="s">
        <v>265</v>
      </c>
      <c r="L141" s="72">
        <f t="shared" ca="1" si="2"/>
        <v>91.154406249999994</v>
      </c>
      <c r="M141" s="72">
        <f t="shared" ca="1" si="2"/>
        <v>13.8959453125</v>
      </c>
      <c r="N141" s="72">
        <f ca="1">E142</f>
        <v>-6.1970429687499999</v>
      </c>
      <c r="O141" s="72"/>
    </row>
    <row r="142" spans="1:15" ht="18" customHeight="1">
      <c r="A142" s="168"/>
      <c r="B142" s="37" t="s">
        <v>266</v>
      </c>
      <c r="C142" s="38">
        <f ca="1">91.15440625*OFFSET($L$112,MATCH($N$1,$C$112:$C$113,0)-1,0)</f>
        <v>91.154406249999994</v>
      </c>
      <c r="D142" s="38">
        <f ca="1">13.8959453125*OFFSET($L$112,MATCH($N$1,$C$112:$C$113,0)-1,0)</f>
        <v>13.8959453125</v>
      </c>
      <c r="E142" s="38">
        <f ca="1">-6.19704296875*OFFSET($L$112,MATCH($N$1,$C$112:$C$113,0)-1,0)</f>
        <v>-6.1970429687499999</v>
      </c>
      <c r="F142" s="63">
        <f ca="1">28.1873125*OFFSET($L$112,MATCH($N$1,$C$112:$C$113,0)-1,0)</f>
        <v>28.187312500000001</v>
      </c>
      <c r="G142" s="206"/>
      <c r="H142" s="206"/>
      <c r="I142" s="46"/>
      <c r="J142" s="206"/>
      <c r="K142" s="71" t="s">
        <v>267</v>
      </c>
      <c r="L142" s="75">
        <f ca="1">IFERROR(L140/L$139,"")</f>
        <v>0.75739492604969982</v>
      </c>
      <c r="M142" s="75">
        <f t="shared" ref="M142:N143" ca="1" si="3">IFERROR(M140/M$139,"")</f>
        <v>0.91191685519955845</v>
      </c>
      <c r="N142" s="75">
        <f t="shared" ca="1" si="3"/>
        <v>1.1003154501524326</v>
      </c>
      <c r="O142" s="75"/>
    </row>
    <row r="143" spans="1:15" ht="18" customHeight="1">
      <c r="A143" s="206"/>
      <c r="B143" s="206"/>
      <c r="C143" s="206"/>
      <c r="D143" s="206"/>
      <c r="E143" s="206"/>
      <c r="F143" s="206"/>
      <c r="G143" s="206"/>
      <c r="H143" s="206"/>
      <c r="I143" s="46"/>
      <c r="J143" s="206"/>
      <c r="K143" s="71" t="s">
        <v>268</v>
      </c>
      <c r="L143" s="75">
        <f ca="1">IFERROR(L141/L$139,"")</f>
        <v>0.24260507395030012</v>
      </c>
      <c r="M143" s="75">
        <f t="shared" ca="1" si="3"/>
        <v>8.8083144800441535E-2</v>
      </c>
      <c r="N143" s="75">
        <f t="shared" ca="1" si="3"/>
        <v>-0.10031545015243248</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9</v>
      </c>
      <c r="B161" s="51"/>
      <c r="C161" s="76" t="s">
        <v>249</v>
      </c>
      <c r="D161" s="76" t="s">
        <v>270</v>
      </c>
      <c r="E161" s="76" t="s">
        <v>251</v>
      </c>
      <c r="F161" s="76" t="s">
        <v>271</v>
      </c>
      <c r="G161" s="77">
        <v>11</v>
      </c>
      <c r="H161" s="76"/>
      <c r="I161" s="76" t="s">
        <v>249</v>
      </c>
      <c r="J161" s="76" t="s">
        <v>270</v>
      </c>
      <c r="K161" s="76" t="s">
        <v>251</v>
      </c>
      <c r="L161" s="51" t="s">
        <v>271</v>
      </c>
      <c r="R161" s="206"/>
      <c r="S161" s="206"/>
    </row>
    <row r="162" spans="1:19" s="46" customFormat="1">
      <c r="A162" s="47">
        <v>1</v>
      </c>
      <c r="B162" s="51" t="s">
        <v>172</v>
      </c>
      <c r="C162" s="51">
        <v>0.1626923844115801</v>
      </c>
      <c r="D162" s="51">
        <v>0.82299954488336735</v>
      </c>
      <c r="E162" s="51">
        <v>0.60738875450219365</v>
      </c>
      <c r="F162" s="47">
        <v>12153634</v>
      </c>
      <c r="G162" s="47">
        <v>1</v>
      </c>
      <c r="H162" s="51" t="s">
        <v>172</v>
      </c>
      <c r="I162" s="51">
        <v>0.24911367987968988</v>
      </c>
      <c r="J162" s="51">
        <v>0.82455382049204962</v>
      </c>
      <c r="K162" s="51">
        <v>0.66820177146841508</v>
      </c>
      <c r="L162" s="47">
        <v>12153634</v>
      </c>
      <c r="R162" s="206"/>
      <c r="S162" s="206"/>
    </row>
    <row r="163" spans="1:19" s="46" customFormat="1">
      <c r="A163" s="47">
        <v>2</v>
      </c>
      <c r="B163" s="51" t="s">
        <v>243</v>
      </c>
      <c r="C163" s="51">
        <v>0</v>
      </c>
      <c r="D163" s="51">
        <v>6.045887793198701E-2</v>
      </c>
      <c r="E163" s="51">
        <v>1.9080339927215764E-2</v>
      </c>
      <c r="F163" s="47">
        <v>11115023</v>
      </c>
      <c r="G163" s="47">
        <v>2</v>
      </c>
      <c r="H163" s="51" t="s">
        <v>171</v>
      </c>
      <c r="I163" s="51">
        <v>0</v>
      </c>
      <c r="J163" s="51">
        <v>3.9607574111183347E-2</v>
      </c>
      <c r="K163" s="51">
        <v>3.7474300859895546E-2</v>
      </c>
      <c r="L163" s="47">
        <v>1692097</v>
      </c>
      <c r="N163" s="46" t="s">
        <v>272</v>
      </c>
      <c r="R163" s="206"/>
      <c r="S163" s="206"/>
    </row>
    <row r="164" spans="1:19" s="46" customFormat="1">
      <c r="A164" s="47">
        <v>3</v>
      </c>
      <c r="B164" s="51" t="s">
        <v>377</v>
      </c>
      <c r="C164" s="51">
        <v>0.79907699346793915</v>
      </c>
      <c r="D164" s="51">
        <v>4.5872165383443415E-2</v>
      </c>
      <c r="E164" s="51">
        <v>0.22087549031409029</v>
      </c>
      <c r="F164" s="47">
        <v>553960</v>
      </c>
      <c r="G164" s="47">
        <v>3</v>
      </c>
      <c r="H164" s="51" t="s">
        <v>243</v>
      </c>
      <c r="I164" s="51">
        <v>0</v>
      </c>
      <c r="J164" s="51">
        <v>3.5690477814442845E-2</v>
      </c>
      <c r="K164" s="51">
        <v>0</v>
      </c>
      <c r="L164" s="47">
        <v>11115023</v>
      </c>
      <c r="N164" s="46" t="s">
        <v>273</v>
      </c>
      <c r="R164" s="206"/>
      <c r="S164" s="206"/>
    </row>
    <row r="165" spans="1:19" s="46" customFormat="1">
      <c r="A165" s="47">
        <v>4</v>
      </c>
      <c r="B165" s="51" t="s">
        <v>571</v>
      </c>
      <c r="C165" s="51">
        <v>0</v>
      </c>
      <c r="D165" s="51">
        <v>1.6601598481881689E-2</v>
      </c>
      <c r="E165" s="51">
        <v>3.6695233022895228E-2</v>
      </c>
      <c r="F165" s="47">
        <v>3689192</v>
      </c>
      <c r="G165" s="47">
        <v>4</v>
      </c>
      <c r="H165" s="51" t="s">
        <v>571</v>
      </c>
      <c r="I165" s="51">
        <v>0</v>
      </c>
      <c r="J165" s="51">
        <v>3.1930093714737193E-2</v>
      </c>
      <c r="K165" s="51">
        <v>7.7846705950302367E-2</v>
      </c>
      <c r="L165" s="47">
        <v>3689192</v>
      </c>
      <c r="R165" s="206"/>
      <c r="S165" s="206"/>
    </row>
    <row r="166" spans="1:19" s="46" customFormat="1">
      <c r="A166" s="47">
        <v>5</v>
      </c>
      <c r="B166" s="51" t="s">
        <v>162</v>
      </c>
      <c r="C166" s="51">
        <v>4.643203018136176E-3</v>
      </c>
      <c r="D166" s="51">
        <v>1.2316242365987868E-2</v>
      </c>
      <c r="E166" s="51">
        <v>2.5001982204976018E-2</v>
      </c>
      <c r="F166" s="47">
        <v>2480382</v>
      </c>
      <c r="G166" s="47">
        <v>5</v>
      </c>
      <c r="H166" s="51" t="s">
        <v>162</v>
      </c>
      <c r="I166" s="51">
        <v>0</v>
      </c>
      <c r="J166" s="51">
        <v>1.5305154800409298E-2</v>
      </c>
      <c r="K166" s="51">
        <v>3.2861627303868393E-2</v>
      </c>
      <c r="L166" s="47">
        <v>2480382</v>
      </c>
      <c r="R166" s="206"/>
      <c r="S166" s="206"/>
    </row>
    <row r="167" spans="1:19" s="46" customFormat="1">
      <c r="A167" s="47">
        <v>6</v>
      </c>
      <c r="B167" s="51" t="s">
        <v>297</v>
      </c>
      <c r="C167" s="51">
        <v>5.8094355147642121E-3</v>
      </c>
      <c r="D167" s="51">
        <v>0</v>
      </c>
      <c r="E167" s="51">
        <v>0</v>
      </c>
      <c r="F167" s="47">
        <v>3050596</v>
      </c>
      <c r="G167" s="47">
        <v>6</v>
      </c>
      <c r="H167" s="51" t="s">
        <v>377</v>
      </c>
      <c r="I167" s="51">
        <v>0.61770927200675319</v>
      </c>
      <c r="J167" s="51">
        <v>0</v>
      </c>
      <c r="K167" s="51">
        <v>5.3882069297017346E-2</v>
      </c>
      <c r="L167" s="47">
        <v>553960</v>
      </c>
      <c r="R167" s="206"/>
      <c r="S167" s="206"/>
    </row>
    <row r="168" spans="1:19" s="46" customFormat="1">
      <c r="A168" s="47">
        <v>7</v>
      </c>
      <c r="B168" s="51" t="s">
        <v>173</v>
      </c>
      <c r="C168" s="51">
        <v>5.2049681737466992E-3</v>
      </c>
      <c r="D168" s="51">
        <v>0</v>
      </c>
      <c r="E168" s="51">
        <v>0</v>
      </c>
      <c r="F168" s="47">
        <v>7434864</v>
      </c>
      <c r="G168" s="47">
        <v>7</v>
      </c>
      <c r="H168" s="51" t="s">
        <v>297</v>
      </c>
      <c r="I168" s="51">
        <v>4.844861336226134E-2</v>
      </c>
      <c r="J168" s="51">
        <v>0</v>
      </c>
      <c r="K168" s="51">
        <v>0</v>
      </c>
      <c r="L168" s="47">
        <v>3050596</v>
      </c>
      <c r="R168" s="206"/>
      <c r="S168" s="206"/>
    </row>
    <row r="169" spans="1:19" s="46" customFormat="1">
      <c r="A169" s="47">
        <v>8</v>
      </c>
      <c r="B169" s="51" t="s">
        <v>245</v>
      </c>
      <c r="C169" s="51">
        <v>2.2573015413833719E-2</v>
      </c>
      <c r="D169" s="51">
        <v>4.1751570953332706E-2</v>
      </c>
      <c r="E169" s="51">
        <v>9.0958200028628977E-2</v>
      </c>
      <c r="F169" s="47">
        <v>5920853</v>
      </c>
      <c r="G169" s="47">
        <v>8</v>
      </c>
      <c r="H169" s="51" t="s">
        <v>173</v>
      </c>
      <c r="I169" s="51">
        <v>2.9116050537677133E-2</v>
      </c>
      <c r="J169" s="51">
        <v>0</v>
      </c>
      <c r="K169" s="51">
        <v>0</v>
      </c>
      <c r="L169" s="47">
        <v>7434864</v>
      </c>
      <c r="R169" s="206"/>
      <c r="S169" s="206"/>
    </row>
    <row r="170" spans="1:19" s="46" customFormat="1">
      <c r="A170" s="47">
        <v>9</v>
      </c>
      <c r="B170" s="51"/>
      <c r="C170" s="51">
        <v>0</v>
      </c>
      <c r="D170" s="51">
        <v>0</v>
      </c>
      <c r="E170" s="51">
        <v>0</v>
      </c>
      <c r="F170" s="47"/>
      <c r="G170" s="47">
        <v>9</v>
      </c>
      <c r="H170" s="51" t="s">
        <v>572</v>
      </c>
      <c r="I170" s="51">
        <v>1.3047528322947638E-2</v>
      </c>
      <c r="J170" s="51">
        <v>0</v>
      </c>
      <c r="K170" s="51">
        <v>0</v>
      </c>
      <c r="L170" s="47">
        <v>8497745</v>
      </c>
      <c r="R170" s="206"/>
      <c r="S170" s="206"/>
    </row>
    <row r="171" spans="1:19" s="46" customFormat="1">
      <c r="A171" s="47">
        <v>10</v>
      </c>
      <c r="B171" s="51"/>
      <c r="C171" s="51">
        <v>0</v>
      </c>
      <c r="D171" s="51">
        <v>0</v>
      </c>
      <c r="E171" s="51">
        <v>0</v>
      </c>
      <c r="F171" s="47"/>
      <c r="G171" s="47">
        <v>10</v>
      </c>
      <c r="H171" s="51" t="s">
        <v>245</v>
      </c>
      <c r="I171" s="51">
        <v>4.2564855890670716E-2</v>
      </c>
      <c r="J171" s="51">
        <v>5.2912879067177676E-2</v>
      </c>
      <c r="K171" s="51">
        <v>0.12973352512050118</v>
      </c>
      <c r="L171" s="47">
        <v>5920853</v>
      </c>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957B1A84-F96C-48EF-BC0A-3C4377941FA1}">
      <formula1>$C$112:$C$113</formula1>
    </dataValidation>
  </dataValidations>
  <hyperlinks>
    <hyperlink ref="O1:P1" location="Home_page" display="Back to home page" xr:uid="{E1001941-158B-44D4-8B16-B64BDBE942AB}"/>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251D91A7-B48B-46A8-BA66-BFA76E55F10C}">
          <x14:colorSeries rgb="FF323232"/>
          <x14:colorNegative rgb="FFD00000"/>
          <x14:colorAxis rgb="FF000000"/>
          <x14:colorMarkers rgb="FFD00000"/>
          <x14:colorFirst rgb="FFD00000"/>
          <x14:colorLast rgb="FFD00000"/>
          <x14:colorHigh rgb="FFD00000"/>
          <x14:colorLow rgb="FFD00000"/>
          <x14:sparklines>
            <x14:sparkline>
              <xm:f>'UK scallop dredge under 15m'!D3:N3</xm:f>
              <xm:sqref>C3</xm:sqref>
            </x14:sparkline>
            <x14:sparkline>
              <xm:f>'UK scallop dredge under 15m'!D4:N4</xm:f>
              <xm:sqref>C4</xm:sqref>
            </x14:sparkline>
            <x14:sparkline>
              <xm:f>'UK scallop dredge under 15m'!D5:N5</xm:f>
              <xm:sqref>C5</xm:sqref>
            </x14:sparkline>
            <x14:sparkline>
              <xm:f>'UK scallop dredge under 15m'!D6:N6</xm:f>
              <xm:sqref>C6</xm:sqref>
            </x14:sparkline>
            <x14:sparkline>
              <xm:f>'UK scallop dredge under 15m'!D7:N7</xm:f>
              <xm:sqref>C7</xm:sqref>
            </x14:sparkline>
            <x14:sparkline>
              <xm:f>'UK scallop dredge under 15m'!D8:N8</xm:f>
              <xm:sqref>C8</xm:sqref>
            </x14:sparkline>
            <x14:sparkline>
              <xm:f>'UK scallop dredge under 15m'!D9:N9</xm:f>
              <xm:sqref>C9</xm:sqref>
            </x14:sparkline>
            <x14:sparkline>
              <xm:f>'UK scallop dredge under 15m'!D10:N10</xm:f>
              <xm:sqref>C10</xm:sqref>
            </x14:sparkline>
            <x14:sparkline>
              <xm:f>'UK scallop dredge under 15m'!D11:N11</xm:f>
              <xm:sqref>C11</xm:sqref>
            </x14:sparkline>
            <x14:sparkline>
              <xm:f>'UK scallop dredge under 15m'!D12:N12</xm:f>
              <xm:sqref>C12</xm:sqref>
            </x14:sparkline>
            <x14:sparkline>
              <xm:f>'UK scallop dredge under 15m'!D13:N13</xm:f>
              <xm:sqref>C13</xm:sqref>
            </x14:sparkline>
            <x14:sparkline>
              <xm:f>'UK scallop dredge under 15m'!D14:N14</xm:f>
              <xm:sqref>C14</xm:sqref>
            </x14:sparkline>
            <x14:sparkline>
              <xm:f>'UK scallop dredge under 15m'!D15:N15</xm:f>
              <xm:sqref>C15</xm:sqref>
            </x14:sparkline>
            <x14:sparkline>
              <xm:f>'UK scallop dredge under 15m'!D16:N16</xm:f>
              <xm:sqref>C16</xm:sqref>
            </x14:sparkline>
            <x14:sparkline>
              <xm:f>'UK scallop dredge under 15m'!D17:N17</xm:f>
              <xm:sqref>C17</xm:sqref>
            </x14:sparkline>
            <x14:sparkline>
              <xm:f>'UK scallop dredge under 15m'!D18:N18</xm:f>
              <xm:sqref>C18</xm:sqref>
            </x14:sparkline>
            <x14:sparkline>
              <xm:f>'UK scallop dredge under 15m'!D19:N19</xm:f>
              <xm:sqref>C19</xm:sqref>
            </x14:sparkline>
            <x14:sparkline>
              <xm:f>'UK scallop dredge under 15m'!D20:N20</xm:f>
              <xm:sqref>C20</xm:sqref>
            </x14:sparkline>
            <x14:sparkline>
              <xm:f>'UK scallop dredge under 15m'!D21:N21</xm:f>
              <xm:sqref>C21</xm:sqref>
            </x14:sparkline>
            <x14:sparkline>
              <xm:f>'UK scallop dredge under 15m'!D22:N22</xm:f>
              <xm:sqref>C22</xm:sqref>
            </x14:sparkline>
            <x14:sparkline>
              <xm:f>'UK scallop dredge under 15m'!D23:N23</xm:f>
              <xm:sqref>C23</xm:sqref>
            </x14:sparkline>
            <x14:sparkline>
              <xm:f>'UK scallop dredge under 15m'!D24:N24</xm:f>
              <xm:sqref>C24</xm:sqref>
            </x14:sparkline>
            <x14:sparkline>
              <xm:f>'UK scallop dredge under 15m'!D25:N25</xm:f>
              <xm:sqref>C25</xm:sqref>
            </x14:sparkline>
            <x14:sparkline>
              <xm:f>'UK scallop dredge under 15m'!D26:N26</xm:f>
              <xm:sqref>C26</xm:sqref>
            </x14:sparkline>
            <x14:sparkline>
              <xm:f>'UK scallop dredge under 15m'!D27:N27</xm:f>
              <xm:sqref>C27</xm:sqref>
            </x14:sparkline>
            <x14:sparkline>
              <xm:f>'UK scallop dredge under 15m'!D28:N28</xm:f>
              <xm:sqref>C28</xm:sqref>
            </x14:sparkline>
            <x14:sparkline>
              <xm:f>'UK scallop dredge under 15m'!D29:N29</xm:f>
              <xm:sqref>C29</xm:sqref>
            </x14:sparkline>
            <x14:sparkline>
              <xm:f>'UK scallop dredge under 15m'!D30:N30</xm:f>
              <xm:sqref>C30</xm:sqref>
            </x14:sparkline>
            <x14:sparkline>
              <xm:f>'UK scallop dredge under 15m'!D31:N31</xm:f>
              <xm:sqref>C31</xm:sqref>
            </x14:sparkline>
            <x14:sparkline>
              <xm:f>'UK scallop dredge under 15m'!D32:N32</xm:f>
              <xm:sqref>C32</xm:sqref>
            </x14:sparkline>
            <x14:sparkline>
              <xm:f>'UK scallop dredge under 15m'!D33:N33</xm:f>
              <xm:sqref>C33</xm:sqref>
            </x14:sparkline>
            <x14:sparkline>
              <xm:f>'UK scallop dredge under 15m'!D34:N34</xm:f>
              <xm:sqref>C34</xm:sqref>
            </x14:sparkline>
            <x14:sparkline>
              <xm:f>'UK scallop dredge under 15m'!D35:N35</xm:f>
              <xm:sqref>C35</xm:sqref>
            </x14:sparkline>
            <x14:sparkline>
              <xm:f>'UK scallop dredge under 15m'!D36:N36</xm:f>
              <xm:sqref>C36</xm:sqref>
            </x14:sparkline>
            <x14:sparkline>
              <xm:f>'UK scallop dredge under 15m'!D37:N37</xm:f>
              <xm:sqref>C37</xm:sqref>
            </x14:sparkline>
            <x14:sparkline>
              <xm:f>'UK scallop dredge under 15m'!D38:N38</xm:f>
              <xm:sqref>C38</xm:sqref>
            </x14:sparkline>
            <x14:sparkline>
              <xm:f>'UK scallop dredge under 15m'!D39:N39</xm:f>
              <xm:sqref>C39</xm:sqref>
            </x14:sparkline>
            <x14:sparkline>
              <xm:f>'UK scallop dredge under 15m'!D40:N40</xm:f>
              <xm:sqref>C40</xm:sqref>
            </x14:sparkline>
            <x14:sparkline>
              <xm:f>'UK scallop dredge under 15m'!D41:N41</xm:f>
              <xm:sqref>C41</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1B97C-E9C1-45DB-8FC5-8C2B12EFDE9B}">
  <sheetPr codeName="Feuil33">
    <pageSetUpPr fitToPage="1"/>
  </sheetPr>
  <dimension ref="A1:S192"/>
  <sheetViews>
    <sheetView topLeftCell="A40"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35</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218</v>
      </c>
      <c r="E3" s="27">
        <v>215</v>
      </c>
      <c r="F3" s="27">
        <v>223</v>
      </c>
      <c r="G3" s="27">
        <v>203</v>
      </c>
      <c r="H3" s="27">
        <v>203</v>
      </c>
      <c r="I3" s="27">
        <v>193</v>
      </c>
      <c r="J3" s="27">
        <v>189</v>
      </c>
      <c r="K3" s="27">
        <v>175</v>
      </c>
      <c r="L3" s="27">
        <v>158</v>
      </c>
      <c r="M3" s="27">
        <v>167</v>
      </c>
      <c r="N3" s="27">
        <v>173</v>
      </c>
      <c r="O3" s="28">
        <f t="shared" ref="O3:O41" si="0">IF(N3=0,"",IFERROR(IF(AND(N3&gt;0,D3&lt;0),"na",IF(AND(N3&lt;0,D3&lt;0),-1,1)*(N3-D3)/D3),""))</f>
        <v>-0.20642201834862386</v>
      </c>
      <c r="P3" s="28">
        <f t="shared" ref="P3:P41" si="1">IF(N3=0,"",IFERROR(IF(AND(N3&gt;0,J3&lt;0),"na",IF(AND(N3&lt;0,J3&lt;0),-1,1)*(N3-J3)/J3),""))</f>
        <v>-8.4656084656084651E-2</v>
      </c>
      <c r="Q3" s="206"/>
    </row>
    <row r="4" spans="1:17" ht="18" customHeight="1">
      <c r="A4" s="172"/>
      <c r="B4" s="29" t="s">
        <v>184</v>
      </c>
      <c r="C4" s="30"/>
      <c r="D4" s="30">
        <v>24451</v>
      </c>
      <c r="E4" s="30">
        <v>24655</v>
      </c>
      <c r="F4" s="30">
        <v>25034</v>
      </c>
      <c r="G4" s="30">
        <v>23065</v>
      </c>
      <c r="H4" s="30">
        <v>22749</v>
      </c>
      <c r="I4" s="30">
        <v>21499</v>
      </c>
      <c r="J4" s="30">
        <v>21094</v>
      </c>
      <c r="K4" s="30">
        <v>19509</v>
      </c>
      <c r="L4" s="30">
        <v>18556</v>
      </c>
      <c r="M4" s="30">
        <v>19512</v>
      </c>
      <c r="N4" s="30">
        <v>20627</v>
      </c>
      <c r="O4" s="28">
        <f t="shared" si="0"/>
        <v>-0.15639442149605334</v>
      </c>
      <c r="P4" s="28">
        <f t="shared" si="1"/>
        <v>-2.2138996871148193E-2</v>
      </c>
      <c r="Q4" s="206"/>
    </row>
    <row r="5" spans="1:17" ht="18" customHeight="1">
      <c r="A5" s="172"/>
      <c r="B5" s="29" t="s">
        <v>185</v>
      </c>
      <c r="C5" s="30"/>
      <c r="D5" s="30">
        <v>2320</v>
      </c>
      <c r="E5" s="30">
        <v>2248</v>
      </c>
      <c r="F5" s="30">
        <v>2342</v>
      </c>
      <c r="G5" s="30">
        <v>2143</v>
      </c>
      <c r="H5" s="30">
        <v>2147</v>
      </c>
      <c r="I5" s="30">
        <v>2021</v>
      </c>
      <c r="J5" s="30">
        <v>2010</v>
      </c>
      <c r="K5" s="30">
        <v>1874</v>
      </c>
      <c r="L5" s="30">
        <v>1778</v>
      </c>
      <c r="M5" s="30">
        <v>1821</v>
      </c>
      <c r="N5" s="30">
        <v>1908</v>
      </c>
      <c r="O5" s="28">
        <f t="shared" si="0"/>
        <v>-0.17758620689655172</v>
      </c>
      <c r="P5" s="28">
        <f t="shared" si="1"/>
        <v>-5.0746268656716415E-2</v>
      </c>
      <c r="Q5" s="207"/>
    </row>
    <row r="6" spans="1:17" ht="18" customHeight="1">
      <c r="A6" s="172"/>
      <c r="B6" s="29" t="s">
        <v>186</v>
      </c>
      <c r="C6" s="30"/>
      <c r="D6" s="30">
        <v>19625.0078125</v>
      </c>
      <c r="E6" s="30">
        <v>19569.525390625</v>
      </c>
      <c r="F6" s="30">
        <v>20089.697265625</v>
      </c>
      <c r="G6" s="30">
        <v>18400.05859375</v>
      </c>
      <c r="H6" s="30">
        <v>18278.7109375</v>
      </c>
      <c r="I6" s="30">
        <v>17228.181640625</v>
      </c>
      <c r="J6" s="30">
        <v>16996.673828125</v>
      </c>
      <c r="K6" s="30">
        <v>15723.5361328125</v>
      </c>
      <c r="L6" s="30">
        <v>14746.8623046875</v>
      </c>
      <c r="M6" s="30">
        <v>15549.4990234375</v>
      </c>
      <c r="N6" s="30">
        <v>16291.513671875</v>
      </c>
      <c r="O6" s="28">
        <f t="shared" si="0"/>
        <v>-0.16985950642535572</v>
      </c>
      <c r="P6" s="28">
        <f t="shared" si="1"/>
        <v>-4.1488126640586966E-2</v>
      </c>
      <c r="Q6" s="206"/>
    </row>
    <row r="7" spans="1:17" ht="18" customHeight="1">
      <c r="A7" s="172"/>
      <c r="B7" s="29" t="s">
        <v>187</v>
      </c>
      <c r="C7" s="30"/>
      <c r="D7" s="30">
        <v>5568.78076171875</v>
      </c>
      <c r="E7" s="30">
        <v>5857.64404296875</v>
      </c>
      <c r="F7" s="30">
        <v>6492.078125</v>
      </c>
      <c r="G7" s="30">
        <v>5927.626953125</v>
      </c>
      <c r="H7" s="30">
        <v>5624.15234375</v>
      </c>
      <c r="I7" s="30">
        <v>4918.31494140625</v>
      </c>
      <c r="J7" s="30">
        <v>5523.4765625</v>
      </c>
      <c r="K7" s="30">
        <v>5481.93408203125</v>
      </c>
      <c r="L7" s="30">
        <v>4417.80908203125</v>
      </c>
      <c r="M7" s="30">
        <v>5329.63037109375</v>
      </c>
      <c r="N7" s="30">
        <v>3899.60302734375</v>
      </c>
      <c r="O7" s="28">
        <f t="shared" si="0"/>
        <v>-0.29973845367541896</v>
      </c>
      <c r="P7" s="28">
        <f t="shared" si="1"/>
        <v>-0.29399482676925903</v>
      </c>
      <c r="Q7" s="206"/>
    </row>
    <row r="8" spans="1:17" ht="18" customHeight="1">
      <c r="A8" s="172"/>
      <c r="B8" s="29" t="s">
        <v>188</v>
      </c>
      <c r="C8" s="31"/>
      <c r="D8" s="31">
        <f ca="1">15.437413*OFFSET(D$112,MATCH($N$1,$C$112:$C$113,0)-1,0)</f>
        <v>15.437412999999999</v>
      </c>
      <c r="E8" s="31">
        <f ca="1">17.317336*OFFSET(E$112,MATCH($N$1,$C$112:$C$113,0)-1,0)</f>
        <v>17.317336000000001</v>
      </c>
      <c r="F8" s="31">
        <f ca="1">18.01799*OFFSET(F$112,MATCH($N$1,$C$112:$C$113,0)-1,0)</f>
        <v>18.017990000000001</v>
      </c>
      <c r="G8" s="31">
        <f ca="1">14.732443*OFFSET(G$112,MATCH($N$1,$C$112:$C$113,0)-1,0)</f>
        <v>14.732443</v>
      </c>
      <c r="H8" s="31">
        <f ca="1">15.479724*OFFSET(H$112,MATCH($N$1,$C$112:$C$113,0)-1,0)</f>
        <v>15.479723999999999</v>
      </c>
      <c r="I8" s="31">
        <f ca="1">12.807361*OFFSET(I$112,MATCH($N$1,$C$112:$C$113,0)-1,0)</f>
        <v>12.807361</v>
      </c>
      <c r="J8" s="31">
        <f ca="1">15.474899*OFFSET(J$112,MATCH($N$1,$C$112:$C$113,0)-1,0)</f>
        <v>15.474899000000001</v>
      </c>
      <c r="K8" s="31">
        <f ca="1">15.41786*OFFSET(K$112,MATCH($N$1,$C$112:$C$113,0)-1,0)</f>
        <v>15.417859999999999</v>
      </c>
      <c r="L8" s="31">
        <f ca="1">12.870978*OFFSET(L$112,MATCH($N$1,$C$112:$C$113,0)-1,0)</f>
        <v>12.870977999999999</v>
      </c>
      <c r="M8" s="31">
        <f ca="1">14.726221*OFFSET(M$112,MATCH($N$1,$C$112:$C$113,0)-1,0)</f>
        <v>14.726221000000001</v>
      </c>
      <c r="N8" s="31">
        <v>8.9339339999999989</v>
      </c>
      <c r="O8" s="28">
        <f t="shared" ca="1" si="0"/>
        <v>-0.42128036608206315</v>
      </c>
      <c r="P8" s="28">
        <f t="shared" ca="1" si="1"/>
        <v>-0.42268224173870222</v>
      </c>
      <c r="Q8" s="206"/>
    </row>
    <row r="9" spans="1:17" ht="18" customHeight="1">
      <c r="A9" s="172"/>
      <c r="B9" s="29" t="s">
        <v>189</v>
      </c>
      <c r="C9" s="30"/>
      <c r="D9" s="30">
        <v>21427</v>
      </c>
      <c r="E9" s="30">
        <v>22131</v>
      </c>
      <c r="F9" s="30">
        <v>22366</v>
      </c>
      <c r="G9" s="30">
        <v>19575</v>
      </c>
      <c r="H9" s="30">
        <v>21805</v>
      </c>
      <c r="I9" s="30">
        <v>20386</v>
      </c>
      <c r="J9" s="30">
        <v>20838</v>
      </c>
      <c r="K9" s="30">
        <v>16193</v>
      </c>
      <c r="L9" s="30">
        <v>14347</v>
      </c>
      <c r="M9" s="30">
        <v>15668</v>
      </c>
      <c r="N9" s="30">
        <v>11982</v>
      </c>
      <c r="O9" s="28">
        <f t="shared" si="0"/>
        <v>-0.44079899192607458</v>
      </c>
      <c r="P9" s="28">
        <f t="shared" si="1"/>
        <v>-0.4249928016124388</v>
      </c>
      <c r="Q9" s="206"/>
    </row>
    <row r="10" spans="1:17" ht="18" customHeight="1">
      <c r="A10" s="172"/>
      <c r="B10" s="29" t="s">
        <v>190</v>
      </c>
      <c r="C10" s="30"/>
      <c r="D10" s="30">
        <v>335.27322387695313</v>
      </c>
      <c r="E10" s="30">
        <v>346.543701171875</v>
      </c>
      <c r="F10" s="30">
        <v>262.74832153320313</v>
      </c>
      <c r="G10" s="30">
        <v>230.99365234375</v>
      </c>
      <c r="H10" s="30">
        <v>264.92828369140625</v>
      </c>
      <c r="I10" s="30">
        <v>283.77984619140625</v>
      </c>
      <c r="J10" s="30">
        <v>328.6925048828125</v>
      </c>
      <c r="K10" s="30">
        <v>204.45256042480469</v>
      </c>
      <c r="L10" s="30">
        <v>199.00190734863281</v>
      </c>
      <c r="M10" s="30">
        <v>96.626930236816406</v>
      </c>
      <c r="N10" s="30">
        <v>71.182327270507813</v>
      </c>
      <c r="O10" s="32">
        <f t="shared" si="0"/>
        <v>-0.7876886008152203</v>
      </c>
      <c r="P10" s="32">
        <f t="shared" si="1"/>
        <v>-0.7834379360250816</v>
      </c>
      <c r="Q10" s="206"/>
    </row>
    <row r="11" spans="1:17" ht="18" customHeight="1">
      <c r="A11" s="173" t="s">
        <v>191</v>
      </c>
      <c r="B11" s="33" t="s">
        <v>192</v>
      </c>
      <c r="C11" s="34"/>
      <c r="D11" s="34">
        <v>9.6557340621948242</v>
      </c>
      <c r="E11" s="34">
        <v>9.668278694152832</v>
      </c>
      <c r="F11" s="34">
        <v>9.6296415328979492</v>
      </c>
      <c r="G11" s="34">
        <v>9.6284236907958984</v>
      </c>
      <c r="H11" s="34">
        <v>9.6504430770874023</v>
      </c>
      <c r="I11" s="34">
        <v>9.6765279769897461</v>
      </c>
      <c r="J11" s="34">
        <v>9.6828041076660156</v>
      </c>
      <c r="K11" s="34">
        <v>9.6898288726806641</v>
      </c>
      <c r="L11" s="34">
        <v>9.7668352127075195</v>
      </c>
      <c r="M11" s="34">
        <v>9.7688026428222656</v>
      </c>
      <c r="N11" s="34">
        <v>9.7535839080810547</v>
      </c>
      <c r="O11" s="28">
        <f t="shared" si="0"/>
        <v>1.0133858829992303E-2</v>
      </c>
      <c r="P11" s="28">
        <f t="shared" si="1"/>
        <v>7.3098453328206518E-3</v>
      </c>
      <c r="Q11" s="206"/>
    </row>
    <row r="12" spans="1:17" ht="18" customHeight="1">
      <c r="A12" s="174"/>
      <c r="B12" s="35" t="s">
        <v>184</v>
      </c>
      <c r="C12" s="30"/>
      <c r="D12" s="30">
        <v>112.16055297851563</v>
      </c>
      <c r="E12" s="30">
        <v>114.67441558837891</v>
      </c>
      <c r="F12" s="30">
        <v>112.26008605957031</v>
      </c>
      <c r="G12" s="30">
        <v>113.62068939208984</v>
      </c>
      <c r="H12" s="30">
        <v>112.06404113769531</v>
      </c>
      <c r="I12" s="30">
        <v>111.39378356933594</v>
      </c>
      <c r="J12" s="30">
        <v>111.60846710205078</v>
      </c>
      <c r="K12" s="30">
        <v>111.48000335693359</v>
      </c>
      <c r="L12" s="30">
        <v>117.44303894042969</v>
      </c>
      <c r="M12" s="30">
        <v>116.83832550048828</v>
      </c>
      <c r="N12" s="30">
        <v>119.23121643066406</v>
      </c>
      <c r="O12" s="28">
        <f t="shared" si="0"/>
        <v>6.3040554494259882E-2</v>
      </c>
      <c r="P12" s="28">
        <f t="shared" si="1"/>
        <v>6.8299023600452397E-2</v>
      </c>
      <c r="Q12" s="206"/>
    </row>
    <row r="13" spans="1:17" ht="18" customHeight="1">
      <c r="A13" s="174"/>
      <c r="B13" s="35" t="s">
        <v>185</v>
      </c>
      <c r="C13" s="30"/>
      <c r="D13" s="30">
        <v>10.64220142364502</v>
      </c>
      <c r="E13" s="30">
        <v>10.455814361572266</v>
      </c>
      <c r="F13" s="30">
        <v>10.502242088317871</v>
      </c>
      <c r="G13" s="30">
        <v>10.556650161743164</v>
      </c>
      <c r="H13" s="30">
        <v>10.57635498046875</v>
      </c>
      <c r="I13" s="30">
        <v>10.471502304077148</v>
      </c>
      <c r="J13" s="30">
        <v>10.634921073913574</v>
      </c>
      <c r="K13" s="30">
        <v>10.708571434020996</v>
      </c>
      <c r="L13" s="30">
        <v>11.253164291381836</v>
      </c>
      <c r="M13" s="30">
        <v>10.904191970825195</v>
      </c>
      <c r="N13" s="30">
        <v>11.028902053833008</v>
      </c>
      <c r="O13" s="28">
        <f t="shared" si="0"/>
        <v>3.6336526137234204E-2</v>
      </c>
      <c r="P13" s="28">
        <f t="shared" si="1"/>
        <v>3.7045971209493087E-2</v>
      </c>
      <c r="Q13" s="206"/>
    </row>
    <row r="14" spans="1:17" ht="18" customHeight="1">
      <c r="A14" s="174"/>
      <c r="B14" s="35" t="s">
        <v>186</v>
      </c>
      <c r="C14" s="30"/>
      <c r="D14" s="30">
        <v>90.022972106933594</v>
      </c>
      <c r="E14" s="30">
        <v>91.021049499511719</v>
      </c>
      <c r="F14" s="30">
        <v>90.088333129882813</v>
      </c>
      <c r="G14" s="30">
        <v>90.640678405761719</v>
      </c>
      <c r="H14" s="30">
        <v>90.042915344238281</v>
      </c>
      <c r="I14" s="30">
        <v>89.265190124511719</v>
      </c>
      <c r="J14" s="30">
        <v>89.929496765136719</v>
      </c>
      <c r="K14" s="30">
        <v>89.848777770996094</v>
      </c>
      <c r="L14" s="30">
        <v>93.334571838378906</v>
      </c>
      <c r="M14" s="30">
        <v>93.110771179199219</v>
      </c>
      <c r="N14" s="30">
        <v>94.170600891113281</v>
      </c>
      <c r="O14" s="28">
        <f t="shared" si="0"/>
        <v>4.6073004335525997E-2</v>
      </c>
      <c r="P14" s="28">
        <f t="shared" si="1"/>
        <v>4.7160323125712479E-2</v>
      </c>
      <c r="Q14" s="206"/>
    </row>
    <row r="15" spans="1:17" ht="18" customHeight="1">
      <c r="A15" s="174"/>
      <c r="B15" s="35" t="s">
        <v>187</v>
      </c>
      <c r="C15" s="31"/>
      <c r="D15" s="31">
        <v>25.544864654541016</v>
      </c>
      <c r="E15" s="31">
        <v>27.244853973388672</v>
      </c>
      <c r="F15" s="31">
        <v>29.112457275390625</v>
      </c>
      <c r="G15" s="31">
        <v>29.20013427734375</v>
      </c>
      <c r="H15" s="31">
        <v>27.705184936523438</v>
      </c>
      <c r="I15" s="31">
        <v>25.483497619628906</v>
      </c>
      <c r="J15" s="31">
        <v>29.22474479675293</v>
      </c>
      <c r="K15" s="31">
        <v>31.325338363647461</v>
      </c>
      <c r="L15" s="31">
        <v>27.960817337036133</v>
      </c>
      <c r="M15" s="31">
        <v>31.913955688476563</v>
      </c>
      <c r="N15" s="31">
        <v>22.541057586669922</v>
      </c>
      <c r="O15" s="28">
        <f t="shared" si="0"/>
        <v>-0.11758946890083123</v>
      </c>
      <c r="P15" s="28">
        <f t="shared" si="1"/>
        <v>-0.22869959195762118</v>
      </c>
      <c r="Q15" s="206"/>
    </row>
    <row r="16" spans="1:17" ht="18" customHeight="1">
      <c r="A16" s="174"/>
      <c r="B16" s="35" t="s">
        <v>193</v>
      </c>
      <c r="C16" s="31"/>
      <c r="D16" s="31">
        <f ca="1">70.8138203125*OFFSET(D$112,MATCH($N$1,$C$112:$C$113,0)-1,0)</f>
        <v>70.813820312499999</v>
      </c>
      <c r="E16" s="31">
        <f ca="1">80.54575*OFFSET(E$112,MATCH($N$1,$C$112:$C$113,0)-1,0)</f>
        <v>80.545749999999998</v>
      </c>
      <c r="F16" s="31">
        <f ca="1">80.7981640625*OFFSET(F$112,MATCH($N$1,$C$112:$C$113,0)-1,0)</f>
        <v>80.798164062500007</v>
      </c>
      <c r="G16" s="31">
        <f ca="1">72.573609375*OFFSET(G$112,MATCH($N$1,$C$112:$C$113,0)-1,0)</f>
        <v>72.573609375000004</v>
      </c>
      <c r="H16" s="31">
        <f ca="1">76.254796875*OFFSET(H$112,MATCH($N$1,$C$112:$C$113,0)-1,0)</f>
        <v>76.254796874999997</v>
      </c>
      <c r="I16" s="31">
        <f ca="1">66.3593828125*OFFSET(I$112,MATCH($N$1,$C$112:$C$113,0)-1,0)</f>
        <v>66.359382812500002</v>
      </c>
      <c r="J16" s="31">
        <f ca="1">81.8777734375*OFFSET(J$112,MATCH($N$1,$C$112:$C$113,0)-1,0)</f>
        <v>81.877773437499997</v>
      </c>
      <c r="K16" s="31">
        <f ca="1">88.1020546875*OFFSET(K$112,MATCH($N$1,$C$112:$C$113,0)-1,0)</f>
        <v>88.102054687500001</v>
      </c>
      <c r="L16" s="31">
        <f ca="1">81.4618828125*OFFSET(L$112,MATCH($N$1,$C$112:$C$113,0)-1,0)</f>
        <v>81.461882812499994</v>
      </c>
      <c r="M16" s="31">
        <f ca="1">88.1809609375*OFFSET(M$112,MATCH($N$1,$C$112:$C$113,0)-1,0)</f>
        <v>88.180960937500004</v>
      </c>
      <c r="N16" s="31">
        <v>51.641234375000003</v>
      </c>
      <c r="O16" s="28">
        <f t="shared" ca="1" si="0"/>
        <v>-0.27074638612761959</v>
      </c>
      <c r="P16" s="28">
        <f t="shared" ca="1" si="1"/>
        <v>-0.36928873115462207</v>
      </c>
      <c r="Q16" s="206"/>
    </row>
    <row r="17" spans="1:16" ht="18" customHeight="1">
      <c r="A17" s="174"/>
      <c r="B17" s="35" t="s">
        <v>189</v>
      </c>
      <c r="C17" s="30"/>
      <c r="D17" s="30">
        <v>98.288993835449219</v>
      </c>
      <c r="E17" s="30">
        <v>102.93488311767578</v>
      </c>
      <c r="F17" s="30">
        <v>100.29596710205078</v>
      </c>
      <c r="G17" s="30">
        <v>96.428573608398438</v>
      </c>
      <c r="H17" s="30">
        <v>107.41379547119141</v>
      </c>
      <c r="I17" s="30">
        <v>105.62694549560547</v>
      </c>
      <c r="J17" s="30">
        <v>110.25396728515625</v>
      </c>
      <c r="K17" s="30">
        <v>92.531425476074219</v>
      </c>
      <c r="L17" s="30">
        <v>90.803794860839844</v>
      </c>
      <c r="M17" s="30">
        <v>93.820358276367188</v>
      </c>
      <c r="N17" s="30">
        <v>69.260116577148438</v>
      </c>
      <c r="O17" s="28">
        <f t="shared" si="0"/>
        <v>-0.29534209401817207</v>
      </c>
      <c r="P17" s="28">
        <f t="shared" si="1"/>
        <v>-0.371812930794436</v>
      </c>
    </row>
    <row r="18" spans="1:16" ht="18" customHeight="1">
      <c r="A18" s="174"/>
      <c r="B18" s="35" t="s">
        <v>194</v>
      </c>
      <c r="C18" s="30"/>
      <c r="D18" s="30">
        <v>18.944953918457031</v>
      </c>
      <c r="E18" s="30">
        <v>19.595348358154297</v>
      </c>
      <c r="F18" s="30">
        <v>20.762331008911133</v>
      </c>
      <c r="G18" s="30">
        <v>21.605911254882813</v>
      </c>
      <c r="H18" s="30">
        <v>23.674877166748047</v>
      </c>
      <c r="I18" s="30">
        <v>24.891191482543945</v>
      </c>
      <c r="J18" s="30">
        <v>25.068782806396484</v>
      </c>
      <c r="K18" s="30">
        <v>26.394285202026367</v>
      </c>
      <c r="L18" s="30">
        <v>25.987340927124023</v>
      </c>
      <c r="M18" s="30">
        <v>26.077844619750977</v>
      </c>
      <c r="N18" s="30">
        <v>26.294797897338867</v>
      </c>
      <c r="O18" s="28">
        <f t="shared" si="0"/>
        <v>0.38795787049770997</v>
      </c>
      <c r="P18" s="28">
        <f t="shared" si="1"/>
        <v>4.8906047828917963E-2</v>
      </c>
    </row>
    <row r="19" spans="1:16" ht="18" customHeight="1">
      <c r="A19" s="174"/>
      <c r="B19" s="35" t="s">
        <v>195</v>
      </c>
      <c r="C19" s="36"/>
      <c r="D19" s="36">
        <v>0.25989547371864319</v>
      </c>
      <c r="E19" s="36">
        <v>0.26468047499656677</v>
      </c>
      <c r="F19" s="36">
        <v>0.29026547074317932</v>
      </c>
      <c r="G19" s="36">
        <v>0.30281621217727661</v>
      </c>
      <c r="H19" s="36">
        <v>0.2579294741153717</v>
      </c>
      <c r="I19" s="36">
        <v>0.24125944077968597</v>
      </c>
      <c r="J19" s="36">
        <v>0.26506751775741577</v>
      </c>
      <c r="K19" s="36">
        <v>0.3385373055934906</v>
      </c>
      <c r="L19" s="36">
        <v>0.30792564153671265</v>
      </c>
      <c r="M19" s="36">
        <v>0.34016025066375732</v>
      </c>
      <c r="N19" s="36">
        <v>0.32545509934425354</v>
      </c>
      <c r="O19" s="28">
        <f t="shared" si="0"/>
        <v>0.2522538183815532</v>
      </c>
      <c r="P19" s="28">
        <f t="shared" si="1"/>
        <v>0.22781962157318431</v>
      </c>
    </row>
    <row r="20" spans="1:16" ht="18" customHeight="1">
      <c r="A20" s="175"/>
      <c r="B20" s="37" t="s">
        <v>196</v>
      </c>
      <c r="C20" s="38"/>
      <c r="D20" s="38">
        <f ca="1">2772*OFFSET(D$112,MATCH($N$1,$C$112:$C$113,0)-1,0)</f>
        <v>2772</v>
      </c>
      <c r="E20" s="38">
        <f ca="1">2956*OFFSET(E$112,MATCH($N$1,$C$112:$C$113,0)-1,0)</f>
        <v>2956</v>
      </c>
      <c r="F20" s="38">
        <f ca="1">2775*OFFSET(F$112,MATCH($N$1,$C$112:$C$113,0)-1,0)</f>
        <v>2775</v>
      </c>
      <c r="G20" s="38">
        <f ca="1">2485*OFFSET(G$112,MATCH($N$1,$C$112:$C$113,0)-1,0)</f>
        <v>2485</v>
      </c>
      <c r="H20" s="38">
        <f ca="1">2752*OFFSET(H$112,MATCH($N$1,$C$112:$C$113,0)-1,0)</f>
        <v>2752</v>
      </c>
      <c r="I20" s="38">
        <f ca="1">2604*OFFSET(I$112,MATCH($N$1,$C$112:$C$113,0)-1,0)</f>
        <v>2604</v>
      </c>
      <c r="J20" s="38">
        <f ca="1">2802*OFFSET(J$112,MATCH($N$1,$C$112:$C$113,0)-1,0)</f>
        <v>2802</v>
      </c>
      <c r="K20" s="38">
        <f ca="1">2812*OFFSET(K$112,MATCH($N$1,$C$112:$C$113,0)-1,0)</f>
        <v>2812</v>
      </c>
      <c r="L20" s="38">
        <f ca="1">2913*OFFSET(L$112,MATCH($N$1,$C$112:$C$113,0)-1,0)</f>
        <v>2913</v>
      </c>
      <c r="M20" s="38">
        <f ca="1">2763*OFFSET(M$112,MATCH($N$1,$C$112:$C$113,0)-1,0)</f>
        <v>2763</v>
      </c>
      <c r="N20" s="38">
        <v>2291</v>
      </c>
      <c r="O20" s="32">
        <f t="shared" ca="1" si="0"/>
        <v>-0.17352092352092352</v>
      </c>
      <c r="P20" s="32">
        <f t="shared" ca="1" si="1"/>
        <v>-0.18236973590292649</v>
      </c>
    </row>
    <row r="21" spans="1:16" ht="18" customHeight="1">
      <c r="A21" s="176" t="s">
        <v>197</v>
      </c>
      <c r="B21" s="33" t="s">
        <v>198</v>
      </c>
      <c r="C21" s="39"/>
      <c r="D21" s="39">
        <v>2.2455963537307215</v>
      </c>
      <c r="E21" s="39">
        <v>2.2624377269129621</v>
      </c>
      <c r="F21" s="39">
        <v>2.5515763696730422</v>
      </c>
      <c r="G21" s="39">
        <v>2.6401861793854016</v>
      </c>
      <c r="H21" s="39">
        <v>2.3070814747113699</v>
      </c>
      <c r="I21" s="39">
        <v>2.179466537029489</v>
      </c>
      <c r="J21" s="39">
        <v>2.3540929823775802</v>
      </c>
      <c r="K21" s="39">
        <v>2.9226850497898358</v>
      </c>
      <c r="L21" s="39">
        <v>2.5550928151024732</v>
      </c>
      <c r="M21" s="39">
        <v>2.8374197024033405</v>
      </c>
      <c r="N21" s="39">
        <v>2.6274532690798775</v>
      </c>
      <c r="O21" s="28">
        <f t="shared" si="0"/>
        <v>0.17004699652043789</v>
      </c>
      <c r="P21" s="28">
        <f t="shared" si="1"/>
        <v>0.11612127844933705</v>
      </c>
    </row>
    <row r="22" spans="1:16" ht="18" customHeight="1">
      <c r="A22" s="176"/>
      <c r="B22" s="35" t="s">
        <v>199</v>
      </c>
      <c r="C22" s="36"/>
      <c r="D22" s="36">
        <f ca="1">6.22509685754879*OFFSET(D$112,MATCH($N$1,$C$112:$C$113,0)-1,0)</f>
        <v>6.2250968575487899</v>
      </c>
      <c r="E22" s="36">
        <f ca="1">6.68859314571816*OFFSET(E$112,MATCH($N$1,$C$112:$C$113,0)-1,0)</f>
        <v>6.6885931457181602</v>
      </c>
      <c r="F22" s="36">
        <f ca="1">7.08159686365995*OFFSET(F$112,MATCH($N$1,$C$112:$C$113,0)-1,0)</f>
        <v>7.08159686365995</v>
      </c>
      <c r="G22" s="36">
        <f ca="1">6.56188216944802*OFFSET(G$112,MATCH($N$1,$C$112:$C$113,0)-1,0)</f>
        <v>6.5618821694480198</v>
      </c>
      <c r="H22" s="36">
        <f ca="1">6.34993159696507*OFFSET(H$112,MATCH($N$1,$C$112:$C$113,0)-1,0)</f>
        <v>6.34993159696507</v>
      </c>
      <c r="I22" s="36">
        <f ca="1">5.6753612246057*OFFSET(I$112,MATCH($N$1,$C$112:$C$113,0)-1,0)</f>
        <v>5.6753612246056999</v>
      </c>
      <c r="J22" s="36">
        <f ca="1">6.5953661256038*OFFSET(J$112,MATCH($N$1,$C$112:$C$113,0)-1,0)</f>
        <v>6.5953661256037996</v>
      </c>
      <c r="K22" s="36">
        <f ca="1">8.2200088344374*OFFSET(K$112,MATCH($N$1,$C$112:$C$113,0)-1,0)</f>
        <v>8.2200088344373992</v>
      </c>
      <c r="L22" s="36">
        <f ca="1">7.44408394683221*OFFSET(L$112,MATCH($N$1,$C$112:$C$113,0)-1,0)</f>
        <v>7.44408394683221</v>
      </c>
      <c r="M22" s="36">
        <f ca="1">7.84003081232785*OFFSET(M$112,MATCH($N$1,$C$112:$C$113,0)-1,0)</f>
        <v>7.8400308123278499</v>
      </c>
      <c r="N22" s="36">
        <v>6.0194571419822696</v>
      </c>
      <c r="O22" s="28">
        <f t="shared" ca="1" si="0"/>
        <v>-3.3033978470094615E-2</v>
      </c>
      <c r="P22" s="28">
        <f t="shared" ca="1" si="1"/>
        <v>-8.732024464658604E-2</v>
      </c>
    </row>
    <row r="23" spans="1:16" ht="18" customHeight="1">
      <c r="A23" s="176"/>
      <c r="B23" s="35" t="s">
        <v>154</v>
      </c>
      <c r="C23" s="36"/>
      <c r="D23" s="36">
        <f ca="1">5.08472085581467*OFFSET(D$112,MATCH($N$1,$C$112:$C$113,0)-1,0)</f>
        <v>5.0847208558146697</v>
      </c>
      <c r="E23" s="36">
        <f ca="1">5.51406661682049*OFFSET(E$112,MATCH($N$1,$C$112:$C$113,0)-1,0)</f>
        <v>5.5140666168204904</v>
      </c>
      <c r="F23" s="36">
        <f ca="1">5.98694815741991*OFFSET(F$112,MATCH($N$1,$C$112:$C$113,0)-1,0)</f>
        <v>5.9869481574199099</v>
      </c>
      <c r="G23" s="36">
        <f ca="1">5.4508742539059*OFFSET(G$112,MATCH($N$1,$C$112:$C$113,0)-1,0)</f>
        <v>5.4508742539058996</v>
      </c>
      <c r="H23" s="36">
        <f ca="1">5.41850194954545*OFFSET(H$112,MATCH($N$1,$C$112:$C$113,0)-1,0)</f>
        <v>5.4185019495454503</v>
      </c>
      <c r="I23" s="36">
        <f ca="1">4.63414597733598*OFFSET(I$112,MATCH($N$1,$C$112:$C$113,0)-1,0)</f>
        <v>4.6341459773359803</v>
      </c>
      <c r="J23" s="36">
        <f ca="1">4.78869605988994*OFFSET(J$112,MATCH($N$1,$C$112:$C$113,0)-1,0)</f>
        <v>4.78869605988994</v>
      </c>
      <c r="K23" s="36">
        <f ca="1">5.81759223859687*OFFSET(K$112,MATCH($N$1,$C$112:$C$113,0)-1,0)</f>
        <v>5.8175922385968697</v>
      </c>
      <c r="L23" s="36">
        <f ca="1">6.10893183552064*OFFSET(L$112,MATCH($N$1,$C$112:$C$113,0)-1,0)</f>
        <v>6.1089318355206403</v>
      </c>
      <c r="M23" s="36">
        <f ca="1">6.72074543641016*OFFSET(M$112,MATCH($N$1,$C$112:$C$113,0)-1,0)</f>
        <v>6.7207454364101604</v>
      </c>
      <c r="N23" s="36">
        <v>6.1853628859996785</v>
      </c>
      <c r="O23" s="28">
        <f t="shared" ca="1" si="0"/>
        <v>0.21646065957118601</v>
      </c>
      <c r="P23" s="28">
        <f t="shared" ca="1" si="1"/>
        <v>0.29165910900217762</v>
      </c>
    </row>
    <row r="24" spans="1:16" ht="18" customHeight="1">
      <c r="A24" s="176"/>
      <c r="B24" s="35" t="s">
        <v>155</v>
      </c>
      <c r="C24" s="36"/>
      <c r="D24" s="36">
        <f ca="1">1.24557168059544*OFFSET(D$112,MATCH($N$1,$C$112:$C$113,0)-1,0)</f>
        <v>1.24557168059544</v>
      </c>
      <c r="E24" s="36">
        <f ca="1">1.35062495590479*OFFSET(E$112,MATCH($N$1,$C$112:$C$113,0)-1,0)</f>
        <v>1.35062495590479</v>
      </c>
      <c r="F24" s="36">
        <f ca="1">1.43212483802912*OFFSET(F$112,MATCH($N$1,$C$112:$C$113,0)-1,0)</f>
        <v>1.4321248380291201</v>
      </c>
      <c r="G24" s="36">
        <f ca="1">1.60564501787765*OFFSET(G$112,MATCH($N$1,$C$112:$C$113,0)-1,0)</f>
        <v>1.60564501787765</v>
      </c>
      <c r="H24" s="36">
        <f ca="1">1.45050117634679*OFFSET(H$112,MATCH($N$1,$C$112:$C$113,0)-1,0)</f>
        <v>1.4505011763467901</v>
      </c>
      <c r="I24" s="36">
        <f ca="1">1.11991713131705*OFFSET(I$112,MATCH($N$1,$C$112:$C$113,0)-1,0)</f>
        <v>1.11991713131705</v>
      </c>
      <c r="J24" s="36">
        <f ca="1">1.98545088231273*OFFSET(J$112,MATCH($N$1,$C$112:$C$113,0)-1,0)</f>
        <v>1.9854508823127299</v>
      </c>
      <c r="K24" s="36">
        <f ca="1">2.60890521494215*OFFSET(K$112,MATCH($N$1,$C$112:$C$113,0)-1,0)</f>
        <v>2.6089052149421499</v>
      </c>
      <c r="L24" s="36">
        <f ca="1">1.48727717691372*OFFSET(L$112,MATCH($N$1,$C$112:$C$113,0)-1,0)</f>
        <v>1.4872771769137201</v>
      </c>
      <c r="M24" s="36">
        <f ca="1">1.430234666161*OFFSET(M$112,MATCH($N$1,$C$112:$C$113,0)-1,0)</f>
        <v>1.4302346661609999</v>
      </c>
      <c r="N24" s="36">
        <v>0.76823980423790739</v>
      </c>
      <c r="O24" s="28">
        <f t="shared" ca="1" si="0"/>
        <v>-0.38322312861941932</v>
      </c>
      <c r="P24" s="28">
        <f t="shared" ca="1" si="1"/>
        <v>-0.61306531877382331</v>
      </c>
    </row>
    <row r="25" spans="1:16" ht="18" customHeight="1">
      <c r="A25" s="176"/>
      <c r="B25" s="35" t="s">
        <v>200</v>
      </c>
      <c r="C25" s="31"/>
      <c r="D25" s="31">
        <f ca="1">46.04*OFFSET(D$112,MATCH($N$1,$C$112:$C$113,0)-1,0)</f>
        <v>46.04</v>
      </c>
      <c r="E25" s="31">
        <f ca="1">49.94*OFFSET(E$112,MATCH($N$1,$C$112:$C$113,0)-1,0)</f>
        <v>49.94</v>
      </c>
      <c r="F25" s="31">
        <f ca="1">68.58*OFFSET(F$112,MATCH($N$1,$C$112:$C$113,0)-1,0)</f>
        <v>68.58</v>
      </c>
      <c r="G25" s="31">
        <f ca="1">63.8*OFFSET(G$112,MATCH($N$1,$C$112:$C$113,0)-1,0)</f>
        <v>63.8</v>
      </c>
      <c r="H25" s="31">
        <f ca="1">58.46*OFFSET(H$112,MATCH($N$1,$C$112:$C$113,0)-1,0)</f>
        <v>58.46</v>
      </c>
      <c r="I25" s="31">
        <f ca="1">45.16*OFFSET(I$112,MATCH($N$1,$C$112:$C$113,0)-1,0)</f>
        <v>45.16</v>
      </c>
      <c r="J25" s="31">
        <f ca="1">47.09*OFFSET(J$112,MATCH($N$1,$C$112:$C$113,0)-1,0)</f>
        <v>47.09</v>
      </c>
      <c r="K25" s="31">
        <f ca="1">75.41*OFFSET(K$112,MATCH($N$1,$C$112:$C$113,0)-1,0)</f>
        <v>75.41</v>
      </c>
      <c r="L25" s="31">
        <f ca="1">64.71*OFFSET(L$112,MATCH($N$1,$C$112:$C$113,0)-1,0)</f>
        <v>64.709999999999994</v>
      </c>
      <c r="M25" s="31">
        <f ca="1">152.44*OFFSET(M$112,MATCH($N$1,$C$112:$C$113,0)-1,0)</f>
        <v>152.44</v>
      </c>
      <c r="N25" s="31">
        <v>125.41</v>
      </c>
      <c r="O25" s="28">
        <f t="shared" ca="1" si="0"/>
        <v>1.7239357080799307</v>
      </c>
      <c r="P25" s="28">
        <f t="shared" ca="1" si="1"/>
        <v>1.6631981312380546</v>
      </c>
    </row>
    <row r="26" spans="1:16" ht="18" customHeight="1">
      <c r="A26" s="177"/>
      <c r="B26" s="35" t="s">
        <v>201</v>
      </c>
      <c r="C26" s="31"/>
      <c r="D26" s="31">
        <f ca="1">9.23*OFFSET(D$112,MATCH($N$1,$C$112:$C$113,0)-1,0)</f>
        <v>9.23</v>
      </c>
      <c r="E26" s="31">
        <f ca="1">10.11*OFFSET(E$112,MATCH($N$1,$C$112:$C$113,0)-1,0)</f>
        <v>10.11</v>
      </c>
      <c r="F26" s="31">
        <f ca="1">13.83*OFFSET(F$112,MATCH($N$1,$C$112:$C$113,0)-1,0)</f>
        <v>13.83</v>
      </c>
      <c r="G26" s="31">
        <f ca="1">15.64*OFFSET(G$112,MATCH($N$1,$C$112:$C$113,0)-1,0)</f>
        <v>15.64</v>
      </c>
      <c r="H26" s="31">
        <f ca="1">13.33*OFFSET(H$112,MATCH($N$1,$C$112:$C$113,0)-1,0)</f>
        <v>13.33</v>
      </c>
      <c r="I26" s="31">
        <f ca="1">8.91*OFFSET(I$112,MATCH($N$1,$C$112:$C$113,0)-1,0)</f>
        <v>8.91</v>
      </c>
      <c r="J26" s="31">
        <f ca="1">14.15*OFFSET(J$112,MATCH($N$1,$C$112:$C$113,0)-1,0)</f>
        <v>14.15</v>
      </c>
      <c r="K26" s="31">
        <f ca="1">23.97*OFFSET(K$112,MATCH($N$1,$C$112:$C$113,0)-1,0)</f>
        <v>23.97</v>
      </c>
      <c r="L26" s="31">
        <f ca="1">12.94*OFFSET(L$112,MATCH($N$1,$C$112:$C$113,0)-1,0)</f>
        <v>12.94</v>
      </c>
      <c r="M26" s="31">
        <f ca="1">27.83*OFFSET(M$112,MATCH($N$1,$C$112:$C$113,0)-1,0)</f>
        <v>27.83</v>
      </c>
      <c r="N26" s="31">
        <v>16.04</v>
      </c>
      <c r="O26" s="32">
        <f t="shared" ca="1" si="0"/>
        <v>0.73781148429035737</v>
      </c>
      <c r="P26" s="32">
        <f t="shared" ca="1" si="1"/>
        <v>0.13356890459363949</v>
      </c>
    </row>
    <row r="27" spans="1:16" ht="18" customHeight="1">
      <c r="A27" s="166" t="s">
        <v>202</v>
      </c>
      <c r="B27" s="33" t="s">
        <v>193</v>
      </c>
      <c r="C27" s="34"/>
      <c r="D27" s="34">
        <f ca="1">70.8*OFFSET(D$112,MATCH($N$1,$C$112:$C$113,0)-1,0)</f>
        <v>70.8</v>
      </c>
      <c r="E27" s="34">
        <f ca="1">80.5*OFFSET(E$112,MATCH($N$1,$C$112:$C$113,0)-1,0)</f>
        <v>80.5</v>
      </c>
      <c r="F27" s="34">
        <f ca="1">80.8*OFFSET(F$112,MATCH($N$1,$C$112:$C$113,0)-1,0)</f>
        <v>80.8</v>
      </c>
      <c r="G27" s="34">
        <f ca="1">72.6*OFFSET(G$112,MATCH($N$1,$C$112:$C$113,0)-1,0)</f>
        <v>72.599999999999994</v>
      </c>
      <c r="H27" s="34">
        <f ca="1">76.3*OFFSET(H$112,MATCH($N$1,$C$112:$C$113,0)-1,0)</f>
        <v>76.3</v>
      </c>
      <c r="I27" s="34">
        <f ca="1">66.4*OFFSET(I$112,MATCH($N$1,$C$112:$C$113,0)-1,0)</f>
        <v>66.400000000000006</v>
      </c>
      <c r="J27" s="34">
        <f ca="1">81.9*OFFSET(J$112,MATCH($N$1,$C$112:$C$113,0)-1,0)</f>
        <v>81.900000000000006</v>
      </c>
      <c r="K27" s="34">
        <f ca="1">88.1*OFFSET(K$112,MATCH($N$1,$C$112:$C$113,0)-1,0)</f>
        <v>88.1</v>
      </c>
      <c r="L27" s="34">
        <f ca="1">81.5*OFFSET(L$112,MATCH($N$1,$C$112:$C$113,0)-1,0)</f>
        <v>81.5</v>
      </c>
      <c r="M27" s="34">
        <f ca="1">88.2*OFFSET(M$112,MATCH($N$1,$C$112:$C$113,0)-1,0)</f>
        <v>88.2</v>
      </c>
      <c r="N27" s="34">
        <v>51.6</v>
      </c>
      <c r="O27" s="28">
        <f t="shared" ca="1" si="0"/>
        <v>-0.27118644067796605</v>
      </c>
      <c r="P27" s="28">
        <f t="shared" ca="1" si="1"/>
        <v>-0.36996336996336998</v>
      </c>
    </row>
    <row r="28" spans="1:16" ht="18" customHeight="1">
      <c r="A28" s="178"/>
      <c r="B28" s="35" t="s">
        <v>203</v>
      </c>
      <c r="C28" s="31"/>
      <c r="D28" s="31">
        <f ca="1">1.2*OFFSET(D$112,MATCH($N$1,$C$112:$C$113,0)-1,0)</f>
        <v>1.2</v>
      </c>
      <c r="E28" s="31">
        <f ca="1">2.1*OFFSET(E$112,MATCH($N$1,$C$112:$C$113,0)-1,0)</f>
        <v>2.1</v>
      </c>
      <c r="F28" s="31">
        <f ca="1">3.9*OFFSET(F$112,MATCH($N$1,$C$112:$C$113,0)-1,0)</f>
        <v>3.9</v>
      </c>
      <c r="G28" s="31">
        <f ca="1">5.5*OFFSET(G$112,MATCH($N$1,$C$112:$C$113,0)-1,0)</f>
        <v>5.5</v>
      </c>
      <c r="H28" s="31">
        <f ca="1">6.2*OFFSET(H$112,MATCH($N$1,$C$112:$C$113,0)-1,0)</f>
        <v>6.2</v>
      </c>
      <c r="I28" s="31">
        <f ca="1">0.9*OFFSET(I$112,MATCH($N$1,$C$112:$C$113,0)-1,0)</f>
        <v>0.9</v>
      </c>
      <c r="J28" s="31">
        <f ca="1">2.2*OFFSET(J$112,MATCH($N$1,$C$112:$C$113,0)-1,0)</f>
        <v>2.2000000000000002</v>
      </c>
      <c r="K28" s="31">
        <f ca="1">2.2*OFFSET(K$112,MATCH($N$1,$C$112:$C$113,0)-1,0)</f>
        <v>2.2000000000000002</v>
      </c>
      <c r="L28" s="31">
        <f ca="1">1.7*OFFSET(L$112,MATCH($N$1,$C$112:$C$113,0)-1,0)</f>
        <v>1.7</v>
      </c>
      <c r="M28" s="31">
        <f ca="1">3.5*OFFSET(M$112,MATCH($N$1,$C$112:$C$113,0)-1,0)</f>
        <v>3.5</v>
      </c>
      <c r="N28" s="31">
        <v>8</v>
      </c>
      <c r="O28" s="28">
        <f t="shared" ca="1" si="0"/>
        <v>5.666666666666667</v>
      </c>
      <c r="P28" s="28">
        <f t="shared" ca="1" si="1"/>
        <v>2.6363636363636362</v>
      </c>
    </row>
    <row r="29" spans="1:16" ht="18" customHeight="1">
      <c r="A29" s="178"/>
      <c r="B29" s="40" t="s">
        <v>204</v>
      </c>
      <c r="C29" s="41"/>
      <c r="D29" s="41">
        <f ca="1">72*OFFSET(D$112,MATCH($N$1,$C$112:$C$113,0)-1,0)</f>
        <v>72</v>
      </c>
      <c r="E29" s="41">
        <f ca="1">82.7*OFFSET(E$112,MATCH($N$1,$C$112:$C$113,0)-1,0)</f>
        <v>82.7</v>
      </c>
      <c r="F29" s="41">
        <f ca="1">84.6*OFFSET(F$112,MATCH($N$1,$C$112:$C$113,0)-1,0)</f>
        <v>84.6</v>
      </c>
      <c r="G29" s="41">
        <f ca="1">78*OFFSET(G$112,MATCH($N$1,$C$112:$C$113,0)-1,0)</f>
        <v>78</v>
      </c>
      <c r="H29" s="41">
        <f ca="1">82.5*OFFSET(H$112,MATCH($N$1,$C$112:$C$113,0)-1,0)</f>
        <v>82.5</v>
      </c>
      <c r="I29" s="41">
        <f ca="1">67.3*OFFSET(I$112,MATCH($N$1,$C$112:$C$113,0)-1,0)</f>
        <v>67.3</v>
      </c>
      <c r="J29" s="41">
        <f ca="1">84.1*OFFSET(J$112,MATCH($N$1,$C$112:$C$113,0)-1,0)</f>
        <v>84.1</v>
      </c>
      <c r="K29" s="41">
        <f ca="1">90.3*OFFSET(K$112,MATCH($N$1,$C$112:$C$113,0)-1,0)</f>
        <v>90.3</v>
      </c>
      <c r="L29" s="41">
        <f ca="1">83.1*OFFSET(L$112,MATCH($N$1,$C$112:$C$113,0)-1,0)</f>
        <v>83.1</v>
      </c>
      <c r="M29" s="41">
        <f ca="1">91.7*OFFSET(M$112,MATCH($N$1,$C$112:$C$113,0)-1,0)</f>
        <v>91.7</v>
      </c>
      <c r="N29" s="41">
        <v>59.7</v>
      </c>
      <c r="O29" s="28">
        <f t="shared" ca="1" si="0"/>
        <v>-0.17083333333333328</v>
      </c>
      <c r="P29" s="28">
        <f t="shared" ca="1" si="1"/>
        <v>-0.29013079667063013</v>
      </c>
    </row>
    <row r="30" spans="1:16" ht="18" customHeight="1">
      <c r="A30" s="178"/>
      <c r="B30" s="35" t="s">
        <v>205</v>
      </c>
      <c r="C30" s="31"/>
      <c r="D30" s="31">
        <f ca="1">10*OFFSET(D$112,MATCH($N$1,$C$112:$C$113,0)-1,0)</f>
        <v>10</v>
      </c>
      <c r="E30" s="31">
        <f ca="1">13.7*OFFSET(E$112,MATCH($N$1,$C$112:$C$113,0)-1,0)</f>
        <v>13.7</v>
      </c>
      <c r="F30" s="31">
        <f ca="1">13.5*OFFSET(F$112,MATCH($N$1,$C$112:$C$113,0)-1,0)</f>
        <v>13.5</v>
      </c>
      <c r="G30" s="31">
        <f ca="1">12.3*OFFSET(G$112,MATCH($N$1,$C$112:$C$113,0)-1,0)</f>
        <v>12.3</v>
      </c>
      <c r="H30" s="31">
        <f ca="1">12.3*OFFSET(H$112,MATCH($N$1,$C$112:$C$113,0)-1,0)</f>
        <v>12.3</v>
      </c>
      <c r="I30" s="31">
        <f ca="1">8.4*OFFSET(I$112,MATCH($N$1,$C$112:$C$113,0)-1,0)</f>
        <v>8.4</v>
      </c>
      <c r="J30" s="31">
        <f ca="1">8.3*OFFSET(J$112,MATCH($N$1,$C$112:$C$113,0)-1,0)</f>
        <v>8.3000000000000007</v>
      </c>
      <c r="K30" s="31">
        <f ca="1">8.4*OFFSET(K$112,MATCH($N$1,$C$112:$C$113,0)-1,0)</f>
        <v>8.4</v>
      </c>
      <c r="L30" s="31">
        <f ca="1">9.9*OFFSET(L$112,MATCH($N$1,$C$112:$C$113,0)-1,0)</f>
        <v>9.9</v>
      </c>
      <c r="M30" s="31">
        <f ca="1">9.8*OFFSET(M$112,MATCH($N$1,$C$112:$C$113,0)-1,0)</f>
        <v>9.8000000000000007</v>
      </c>
      <c r="N30" s="31">
        <v>5.4</v>
      </c>
      <c r="O30" s="28">
        <f t="shared" ca="1" si="0"/>
        <v>-0.45999999999999996</v>
      </c>
      <c r="P30" s="28">
        <f t="shared" ca="1" si="1"/>
        <v>-0.3493975903614458</v>
      </c>
    </row>
    <row r="31" spans="1:16" ht="18" customHeight="1">
      <c r="A31" s="178"/>
      <c r="B31" s="35" t="s">
        <v>206</v>
      </c>
      <c r="C31" s="31"/>
      <c r="D31" s="31">
        <f ca="1">15.7*OFFSET(D$112,MATCH($N$1,$C$112:$C$113,0)-1,0)</f>
        <v>15.7</v>
      </c>
      <c r="E31" s="31">
        <f ca="1">23.7*OFFSET(E$112,MATCH($N$1,$C$112:$C$113,0)-1,0)</f>
        <v>23.7</v>
      </c>
      <c r="F31" s="31">
        <f ca="1">24*OFFSET(F$112,MATCH($N$1,$C$112:$C$113,0)-1,0)</f>
        <v>24</v>
      </c>
      <c r="G31" s="31">
        <f ca="1">18.9*OFFSET(G$112,MATCH($N$1,$C$112:$C$113,0)-1,0)</f>
        <v>18.899999999999999</v>
      </c>
      <c r="H31" s="31">
        <f ca="1">20*OFFSET(H$112,MATCH($N$1,$C$112:$C$113,0)-1,0)</f>
        <v>20</v>
      </c>
      <c r="I31" s="31">
        <f ca="1">16.9*OFFSET(I$112,MATCH($N$1,$C$112:$C$113,0)-1,0)</f>
        <v>16.899999999999999</v>
      </c>
      <c r="J31" s="31">
        <f ca="1">17*OFFSET(J$112,MATCH($N$1,$C$112:$C$113,0)-1,0)</f>
        <v>17</v>
      </c>
      <c r="K31" s="31">
        <f ca="1">21.7*OFFSET(K$112,MATCH($N$1,$C$112:$C$113,0)-1,0)</f>
        <v>21.7</v>
      </c>
      <c r="L31" s="31">
        <f ca="1">23.3*OFFSET(L$112,MATCH($N$1,$C$112:$C$113,0)-1,0)</f>
        <v>23.3</v>
      </c>
      <c r="M31" s="31">
        <f ca="1">29.9*OFFSET(M$112,MATCH($N$1,$C$112:$C$113,0)-1,0)</f>
        <v>29.9</v>
      </c>
      <c r="N31" s="31">
        <v>17.7</v>
      </c>
      <c r="O31" s="28">
        <f t="shared" ca="1" si="0"/>
        <v>0.12738853503184713</v>
      </c>
      <c r="P31" s="28">
        <f t="shared" ca="1" si="1"/>
        <v>4.1176470588235252E-2</v>
      </c>
    </row>
    <row r="32" spans="1:16" ht="18" customHeight="1">
      <c r="A32" s="178"/>
      <c r="B32" s="35" t="s">
        <v>207</v>
      </c>
      <c r="C32" s="31"/>
      <c r="D32" s="31">
        <f ca="1">14.9*OFFSET(D$112,MATCH($N$1,$C$112:$C$113,0)-1,0)</f>
        <v>14.9</v>
      </c>
      <c r="E32" s="31">
        <f ca="1">10.9*OFFSET(E$112,MATCH($N$1,$C$112:$C$113,0)-1,0)</f>
        <v>10.9</v>
      </c>
      <c r="F32" s="31">
        <f ca="1">10.3*OFFSET(F$112,MATCH($N$1,$C$112:$C$113,0)-1,0)</f>
        <v>10.3</v>
      </c>
      <c r="G32" s="31">
        <f ca="1">11.9*OFFSET(G$112,MATCH($N$1,$C$112:$C$113,0)-1,0)</f>
        <v>11.9</v>
      </c>
      <c r="H32" s="31">
        <f ca="1">12.2*OFFSET(H$112,MATCH($N$1,$C$112:$C$113,0)-1,0)</f>
        <v>12.2</v>
      </c>
      <c r="I32" s="31">
        <f ca="1">9.6*OFFSET(I$112,MATCH($N$1,$C$112:$C$113,0)-1,0)</f>
        <v>9.6</v>
      </c>
      <c r="J32" s="31">
        <f ca="1">14.8*OFFSET(J$112,MATCH($N$1,$C$112:$C$113,0)-1,0)</f>
        <v>14.8</v>
      </c>
      <c r="K32" s="31">
        <f ca="1">13.2*OFFSET(K$112,MATCH($N$1,$C$112:$C$113,0)-1,0)</f>
        <v>13.2</v>
      </c>
      <c r="L32" s="31">
        <f ca="1">12.9*OFFSET(L$112,MATCH($N$1,$C$112:$C$113,0)-1,0)</f>
        <v>12.9</v>
      </c>
      <c r="M32" s="31">
        <f ca="1">10*OFFSET(M$112,MATCH($N$1,$C$112:$C$113,0)-1,0)</f>
        <v>10</v>
      </c>
      <c r="N32" s="31">
        <v>5.9</v>
      </c>
      <c r="O32" s="28">
        <f t="shared" ca="1" si="0"/>
        <v>-0.60402684563758391</v>
      </c>
      <c r="P32" s="28">
        <f t="shared" ca="1" si="1"/>
        <v>-0.60135135135135132</v>
      </c>
    </row>
    <row r="33" spans="1:16" ht="18" customHeight="1">
      <c r="A33" s="178"/>
      <c r="B33" s="35" t="s">
        <v>208</v>
      </c>
      <c r="C33" s="31"/>
      <c r="D33" s="31">
        <f ca="1">40.6*OFFSET(D$112,MATCH($N$1,$C$112:$C$113,0)-1,0)</f>
        <v>40.6</v>
      </c>
      <c r="E33" s="31">
        <f ca="1">48.3*OFFSET(E$112,MATCH($N$1,$C$112:$C$113,0)-1,0)</f>
        <v>48.3</v>
      </c>
      <c r="F33" s="31">
        <f ca="1">47.7*OFFSET(F$112,MATCH($N$1,$C$112:$C$113,0)-1,0)</f>
        <v>47.7</v>
      </c>
      <c r="G33" s="31">
        <f ca="1">43.1*OFFSET(G$112,MATCH($N$1,$C$112:$C$113,0)-1,0)</f>
        <v>43.1</v>
      </c>
      <c r="H33" s="31">
        <f ca="1">44.5*OFFSET(H$112,MATCH($N$1,$C$112:$C$113,0)-1,0)</f>
        <v>44.5</v>
      </c>
      <c r="I33" s="31">
        <f ca="1">34.9*OFFSET(I$112,MATCH($N$1,$C$112:$C$113,0)-1,0)</f>
        <v>34.9</v>
      </c>
      <c r="J33" s="31">
        <f ca="1">40*OFFSET(J$112,MATCH($N$1,$C$112:$C$113,0)-1,0)</f>
        <v>40</v>
      </c>
      <c r="K33" s="31">
        <f ca="1">43.3*OFFSET(K$112,MATCH($N$1,$C$112:$C$113,0)-1,0)</f>
        <v>43.3</v>
      </c>
      <c r="L33" s="31">
        <f ca="1">46.1*OFFSET(L$112,MATCH($N$1,$C$112:$C$113,0)-1,0)</f>
        <v>46.1</v>
      </c>
      <c r="M33" s="31">
        <f ca="1">49.7*OFFSET(M$112,MATCH($N$1,$C$112:$C$113,0)-1,0)</f>
        <v>49.7</v>
      </c>
      <c r="N33" s="31">
        <v>28.900000000000002</v>
      </c>
      <c r="O33" s="28">
        <f t="shared" ca="1" si="0"/>
        <v>-0.28817733990147781</v>
      </c>
      <c r="P33" s="28">
        <f t="shared" ca="1" si="1"/>
        <v>-0.27749999999999997</v>
      </c>
    </row>
    <row r="34" spans="1:16" ht="18" customHeight="1">
      <c r="A34" s="178"/>
      <c r="B34" s="35" t="s">
        <v>209</v>
      </c>
      <c r="C34" s="31"/>
      <c r="D34" s="31">
        <f ca="1">17.2*OFFSET(D$112,MATCH($N$1,$C$112:$C$113,0)-1,0)</f>
        <v>17.2</v>
      </c>
      <c r="E34" s="31">
        <f ca="1">18.1*OFFSET(E$112,MATCH($N$1,$C$112:$C$113,0)-1,0)</f>
        <v>18.100000000000001</v>
      </c>
      <c r="F34" s="31">
        <f ca="1">20.6*OFFSET(F$112,MATCH($N$1,$C$112:$C$113,0)-1,0)</f>
        <v>20.6</v>
      </c>
      <c r="G34" s="31">
        <f ca="1">17.1*OFFSET(G$112,MATCH($N$1,$C$112:$C$113,0)-1,0)</f>
        <v>17.100000000000001</v>
      </c>
      <c r="H34" s="31">
        <f ca="1">20.6*OFFSET(H$112,MATCH($N$1,$C$112:$C$113,0)-1,0)</f>
        <v>20.6</v>
      </c>
      <c r="I34" s="31">
        <f ca="1">19.3*OFFSET(I$112,MATCH($N$1,$C$112:$C$113,0)-1,0)</f>
        <v>19.3</v>
      </c>
      <c r="J34" s="31">
        <f ca="1">19.4*OFFSET(J$112,MATCH($N$1,$C$112:$C$113,0)-1,0)</f>
        <v>19.399999999999999</v>
      </c>
      <c r="K34" s="31">
        <f ca="1">19.1*OFFSET(K$112,MATCH($N$1,$C$112:$C$113,0)-1,0)</f>
        <v>19.100000000000001</v>
      </c>
      <c r="L34" s="31">
        <f ca="1">20.8*OFFSET(L$112,MATCH($N$1,$C$112:$C$113,0)-1,0)</f>
        <v>20.8</v>
      </c>
      <c r="M34" s="31">
        <f ca="1">25.9*OFFSET(M$112,MATCH($N$1,$C$112:$C$113,0)-1,0)</f>
        <v>25.9</v>
      </c>
      <c r="N34" s="31">
        <v>24.2</v>
      </c>
      <c r="O34" s="28">
        <f t="shared" ca="1" si="0"/>
        <v>0.40697674418604651</v>
      </c>
      <c r="P34" s="28">
        <f t="shared" ca="1" si="1"/>
        <v>0.2474226804123712</v>
      </c>
    </row>
    <row r="35" spans="1:16" ht="18" customHeight="1">
      <c r="A35" s="178"/>
      <c r="B35" s="35" t="s">
        <v>210</v>
      </c>
      <c r="C35" s="31"/>
      <c r="D35" s="31">
        <f ca="1">57.8*OFFSET(D$112,MATCH($N$1,$C$112:$C$113,0)-1,0)</f>
        <v>57.8</v>
      </c>
      <c r="E35" s="31">
        <f ca="1">66.4*OFFSET(E$112,MATCH($N$1,$C$112:$C$113,0)-1,0)</f>
        <v>66.400000000000006</v>
      </c>
      <c r="F35" s="31">
        <f ca="1">68.3*OFFSET(F$112,MATCH($N$1,$C$112:$C$113,0)-1,0)</f>
        <v>68.3</v>
      </c>
      <c r="G35" s="31">
        <f ca="1">60.3*OFFSET(G$112,MATCH($N$1,$C$112:$C$113,0)-1,0)</f>
        <v>60.3</v>
      </c>
      <c r="H35" s="31">
        <f ca="1">65.1*OFFSET(H$112,MATCH($N$1,$C$112:$C$113,0)-1,0)</f>
        <v>65.099999999999994</v>
      </c>
      <c r="I35" s="31">
        <f ca="1">54.2*OFFSET(I$112,MATCH($N$1,$C$112:$C$113,0)-1,0)</f>
        <v>54.2</v>
      </c>
      <c r="J35" s="31">
        <f ca="1">59.4*OFFSET(J$112,MATCH($N$1,$C$112:$C$113,0)-1,0)</f>
        <v>59.4</v>
      </c>
      <c r="K35" s="31">
        <f ca="1">62.4*OFFSET(K$112,MATCH($N$1,$C$112:$C$113,0)-1,0)</f>
        <v>62.4</v>
      </c>
      <c r="L35" s="31">
        <f ca="1">66.9*OFFSET(L$112,MATCH($N$1,$C$112:$C$113,0)-1,0)</f>
        <v>66.900000000000006</v>
      </c>
      <c r="M35" s="31">
        <f ca="1">75.6*OFFSET(M$112,MATCH($N$1,$C$112:$C$113,0)-1,0)</f>
        <v>75.599999999999994</v>
      </c>
      <c r="N35" s="31">
        <v>53.1</v>
      </c>
      <c r="O35" s="28">
        <f t="shared" ca="1" si="0"/>
        <v>-8.1314878892733491E-2</v>
      </c>
      <c r="P35" s="28">
        <f t="shared" ca="1" si="1"/>
        <v>-0.10606060606060602</v>
      </c>
    </row>
    <row r="36" spans="1:16" ht="18" customHeight="1">
      <c r="A36" s="178"/>
      <c r="B36" s="40" t="s">
        <v>211</v>
      </c>
      <c r="C36" s="41"/>
      <c r="D36" s="41">
        <f ca="1">29.9*OFFSET(D$112,MATCH($N$1,$C$112:$C$113,0)-1,0)</f>
        <v>29.9</v>
      </c>
      <c r="E36" s="41">
        <f ca="1">40*OFFSET(E$112,MATCH($N$1,$C$112:$C$113,0)-1,0)</f>
        <v>40</v>
      </c>
      <c r="F36" s="41">
        <f ca="1">40.3*OFFSET(F$112,MATCH($N$1,$C$112:$C$113,0)-1,0)</f>
        <v>40.299999999999997</v>
      </c>
      <c r="G36" s="41">
        <f ca="1">36.7*OFFSET(G$112,MATCH($N$1,$C$112:$C$113,0)-1,0)</f>
        <v>36.700000000000003</v>
      </c>
      <c r="H36" s="41">
        <f ca="1">37.4*OFFSET(H$112,MATCH($N$1,$C$112:$C$113,0)-1,0)</f>
        <v>37.4</v>
      </c>
      <c r="I36" s="41">
        <f ca="1">30*OFFSET(I$112,MATCH($N$1,$C$112:$C$113,0)-1,0)</f>
        <v>30</v>
      </c>
      <c r="J36" s="41">
        <f ca="1">41.6*OFFSET(J$112,MATCH($N$1,$C$112:$C$113,0)-1,0)</f>
        <v>41.6</v>
      </c>
      <c r="K36" s="41">
        <f ca="1">49.7*OFFSET(K$112,MATCH($N$1,$C$112:$C$113,0)-1,0)</f>
        <v>49.7</v>
      </c>
      <c r="L36" s="41">
        <f ca="1">39.6*OFFSET(L$112,MATCH($N$1,$C$112:$C$113,0)-1,0)</f>
        <v>39.6</v>
      </c>
      <c r="M36" s="41">
        <f ca="1">46*OFFSET(M$112,MATCH($N$1,$C$112:$C$113,0)-1,0)</f>
        <v>46</v>
      </c>
      <c r="N36" s="41">
        <v>24.3</v>
      </c>
      <c r="O36" s="28">
        <f t="shared" ca="1" si="0"/>
        <v>-0.18729096989966548</v>
      </c>
      <c r="P36" s="28">
        <f t="shared" ca="1" si="1"/>
        <v>-0.41586538461538464</v>
      </c>
    </row>
    <row r="37" spans="1:16" ht="18" customHeight="1">
      <c r="A37" s="178"/>
      <c r="B37" s="40" t="s">
        <v>212</v>
      </c>
      <c r="C37" s="41"/>
      <c r="D37" s="41">
        <f ca="1">14.2*OFFSET(D$112,MATCH($N$1,$C$112:$C$113,0)-1,0)</f>
        <v>14.2</v>
      </c>
      <c r="E37" s="41">
        <f ca="1">16.3*OFFSET(E$112,MATCH($N$1,$C$112:$C$113,0)-1,0)</f>
        <v>16.3</v>
      </c>
      <c r="F37" s="41">
        <f ca="1">16.3*OFFSET(F$112,MATCH($N$1,$C$112:$C$113,0)-1,0)</f>
        <v>16.3</v>
      </c>
      <c r="G37" s="41">
        <f ca="1">17.8*OFFSET(G$112,MATCH($N$1,$C$112:$C$113,0)-1,0)</f>
        <v>17.8</v>
      </c>
      <c r="H37" s="41">
        <f ca="1">17.4*OFFSET(H$112,MATCH($N$1,$C$112:$C$113,0)-1,0)</f>
        <v>17.399999999999999</v>
      </c>
      <c r="I37" s="41">
        <f ca="1">13.1*OFFSET(I$112,MATCH($N$1,$C$112:$C$113,0)-1,0)</f>
        <v>13.1</v>
      </c>
      <c r="J37" s="41">
        <f ca="1">24.6*OFFSET(J$112,MATCH($N$1,$C$112:$C$113,0)-1,0)</f>
        <v>24.6</v>
      </c>
      <c r="K37" s="41">
        <f ca="1">28*OFFSET(K$112,MATCH($N$1,$C$112:$C$113,0)-1,0)</f>
        <v>28</v>
      </c>
      <c r="L37" s="41">
        <f ca="1">16.3*OFFSET(L$112,MATCH($N$1,$C$112:$C$113,0)-1,0)</f>
        <v>16.3</v>
      </c>
      <c r="M37" s="41">
        <f ca="1">16.1*OFFSET(M$112,MATCH($N$1,$C$112:$C$113,0)-1,0)</f>
        <v>16.100000000000001</v>
      </c>
      <c r="N37" s="41">
        <v>6.6000000000000005</v>
      </c>
      <c r="O37" s="28">
        <f t="shared" ca="1" si="0"/>
        <v>-0.53521126760563376</v>
      </c>
      <c r="P37" s="28">
        <f t="shared" ca="1" si="1"/>
        <v>-0.73170731707317072</v>
      </c>
    </row>
    <row r="38" spans="1:16" ht="18" customHeight="1">
      <c r="A38" s="178"/>
      <c r="B38" s="35" t="s">
        <v>213</v>
      </c>
      <c r="C38" s="31"/>
      <c r="D38" s="31">
        <f ca="1">3.9*OFFSET(D$112,MATCH($N$1,$C$112:$C$113,0)-1,0)</f>
        <v>3.9</v>
      </c>
      <c r="E38" s="31">
        <f ca="1">4.4*OFFSET(E$112,MATCH($N$1,$C$112:$C$113,0)-1,0)</f>
        <v>4.4000000000000004</v>
      </c>
      <c r="F38" s="31">
        <f ca="1">4.8*OFFSET(F$112,MATCH($N$1,$C$112:$C$113,0)-1,0)</f>
        <v>4.8</v>
      </c>
      <c r="G38" s="31">
        <f ca="1">3.2*OFFSET(G$112,MATCH($N$1,$C$112:$C$113,0)-1,0)</f>
        <v>3.2</v>
      </c>
      <c r="H38" s="31">
        <f ca="1">3.6*OFFSET(H$112,MATCH($N$1,$C$112:$C$113,0)-1,0)</f>
        <v>3.6</v>
      </c>
      <c r="I38" s="31">
        <f ca="1">2.7*OFFSET(I$112,MATCH($N$1,$C$112:$C$113,0)-1,0)</f>
        <v>2.7</v>
      </c>
      <c r="J38" s="31">
        <f ca="1">2.5*OFFSET(J$112,MATCH($N$1,$C$112:$C$113,0)-1,0)</f>
        <v>2.5</v>
      </c>
      <c r="K38" s="31">
        <f ca="1">6.1*OFFSET(K$112,MATCH($N$1,$C$112:$C$113,0)-1,0)</f>
        <v>6.1</v>
      </c>
      <c r="L38" s="31">
        <f ca="1">5.1*OFFSET(L$112,MATCH($N$1,$C$112:$C$113,0)-1,0)</f>
        <v>5.0999999999999996</v>
      </c>
      <c r="M38" s="31">
        <f ca="1">4.4*OFFSET(M$112,MATCH($N$1,$C$112:$C$113,0)-1,0)</f>
        <v>4.4000000000000004</v>
      </c>
      <c r="N38" s="31"/>
      <c r="O38" s="28" t="str">
        <f t="shared" si="0"/>
        <v/>
      </c>
      <c r="P38" s="28" t="str">
        <f t="shared" si="1"/>
        <v/>
      </c>
    </row>
    <row r="39" spans="1:16" ht="18" customHeight="1">
      <c r="A39" s="178"/>
      <c r="B39" s="35" t="s">
        <v>214</v>
      </c>
      <c r="C39" s="31"/>
      <c r="D39" s="31">
        <f ca="1">1*OFFSET(D$112,MATCH($N$1,$C$112:$C$113,0)-1,0)</f>
        <v>1</v>
      </c>
      <c r="E39" s="31">
        <f ca="1">0.8*OFFSET(E$112,MATCH($N$1,$C$112:$C$113,0)-1,0)</f>
        <v>0.8</v>
      </c>
      <c r="F39" s="31">
        <f ca="1">0.7*OFFSET(F$112,MATCH($N$1,$C$112:$C$113,0)-1,0)</f>
        <v>0.7</v>
      </c>
      <c r="G39" s="31">
        <f ca="1">1.6*OFFSET(G$112,MATCH($N$1,$C$112:$C$113,0)-1,0)</f>
        <v>1.6</v>
      </c>
      <c r="H39" s="31">
        <f ca="1">1.9*OFFSET(H$112,MATCH($N$1,$C$112:$C$113,0)-1,0)</f>
        <v>1.9</v>
      </c>
      <c r="I39" s="31">
        <f ca="1">0.5*OFFSET(I$112,MATCH($N$1,$C$112:$C$113,0)-1,0)</f>
        <v>0.5</v>
      </c>
      <c r="J39" s="31">
        <f ca="1">0.4*OFFSET(J$112,MATCH($N$1,$C$112:$C$113,0)-1,0)</f>
        <v>0.4</v>
      </c>
      <c r="K39" s="31">
        <f ca="1">0.5*OFFSET(K$112,MATCH($N$1,$C$112:$C$113,0)-1,0)</f>
        <v>0.5</v>
      </c>
      <c r="L39" s="31">
        <f ca="1">0.3*OFFSET(L$112,MATCH($N$1,$C$112:$C$113,0)-1,0)</f>
        <v>0.3</v>
      </c>
      <c r="M39" s="31">
        <f ca="1">0.6*OFFSET(M$112,MATCH($N$1,$C$112:$C$113,0)-1,0)</f>
        <v>0.6</v>
      </c>
      <c r="N39" s="31"/>
      <c r="O39" s="28" t="str">
        <f t="shared" si="0"/>
        <v/>
      </c>
      <c r="P39" s="28" t="str">
        <f t="shared" si="1"/>
        <v/>
      </c>
    </row>
    <row r="40" spans="1:16" ht="18" customHeight="1">
      <c r="A40" s="178"/>
      <c r="B40" s="35" t="s">
        <v>215</v>
      </c>
      <c r="C40" s="31"/>
      <c r="D40" s="31"/>
      <c r="E40" s="31">
        <f ca="1">0.3*OFFSET(E$112,MATCH($N$1,$C$112:$C$113,0)-1,0)</f>
        <v>0.3</v>
      </c>
      <c r="F40" s="31">
        <f ca="1">0.3*OFFSET(F$112,MATCH($N$1,$C$112:$C$113,0)-1,0)</f>
        <v>0.3</v>
      </c>
      <c r="G40" s="31">
        <f ca="1">0.4*OFFSET(G$112,MATCH($N$1,$C$112:$C$113,0)-1,0)</f>
        <v>0.4</v>
      </c>
      <c r="H40" s="31">
        <f ca="1">0.4*OFFSET(H$112,MATCH($N$1,$C$112:$C$113,0)-1,0)</f>
        <v>0.4</v>
      </c>
      <c r="I40" s="31">
        <f ca="1">0.8*OFFSET(I$112,MATCH($N$1,$C$112:$C$113,0)-1,0)</f>
        <v>0.8</v>
      </c>
      <c r="J40" s="31">
        <f ca="1">0.6*OFFSET(J$112,MATCH($N$1,$C$112:$C$113,0)-1,0)</f>
        <v>0.6</v>
      </c>
      <c r="K40" s="31">
        <f ca="1">1.2*OFFSET(K$112,MATCH($N$1,$C$112:$C$113,0)-1,0)</f>
        <v>1.2</v>
      </c>
      <c r="L40" s="31">
        <f ca="1">1.8*OFFSET(L$112,MATCH($N$1,$C$112:$C$113,0)-1,0)</f>
        <v>1.8</v>
      </c>
      <c r="M40" s="31">
        <f ca="1">0.3*OFFSET(M$112,MATCH($N$1,$C$112:$C$113,0)-1,0)</f>
        <v>0.3</v>
      </c>
      <c r="N40" s="31"/>
      <c r="O40" s="28" t="str">
        <f t="shared" si="0"/>
        <v/>
      </c>
      <c r="P40" s="28" t="str">
        <f t="shared" si="1"/>
        <v/>
      </c>
    </row>
    <row r="41" spans="1:16" ht="18" customHeight="1" thickBot="1">
      <c r="A41" s="179"/>
      <c r="B41" s="42" t="s">
        <v>216</v>
      </c>
      <c r="C41" s="43"/>
      <c r="D41" s="43">
        <f ca="1">9.3*OFFSET(D$112,MATCH($N$1,$C$112:$C$113,0)-1,0)</f>
        <v>9.3000000000000007</v>
      </c>
      <c r="E41" s="43">
        <f ca="1">10.7*OFFSET(E$112,MATCH($N$1,$C$112:$C$113,0)-1,0)</f>
        <v>10.7</v>
      </c>
      <c r="F41" s="43">
        <f ca="1">10.7*OFFSET(F$112,MATCH($N$1,$C$112:$C$113,0)-1,0)</f>
        <v>10.7</v>
      </c>
      <c r="G41" s="43">
        <f ca="1">12.5*OFFSET(G$112,MATCH($N$1,$C$112:$C$113,0)-1,0)</f>
        <v>12.5</v>
      </c>
      <c r="H41" s="43">
        <f ca="1">11.5*OFFSET(H$112,MATCH($N$1,$C$112:$C$113,0)-1,0)</f>
        <v>11.5</v>
      </c>
      <c r="I41" s="43">
        <f ca="1">9.2*OFFSET(I$112,MATCH($N$1,$C$112:$C$113,0)-1,0)</f>
        <v>9.1999999999999993</v>
      </c>
      <c r="J41" s="43">
        <f ca="1">21.2*OFFSET(J$112,MATCH($N$1,$C$112:$C$113,0)-1,0)</f>
        <v>21.2</v>
      </c>
      <c r="K41" s="43">
        <f ca="1">20.2*OFFSET(K$112,MATCH($N$1,$C$112:$C$113,0)-1,0)</f>
        <v>20.2</v>
      </c>
      <c r="L41" s="43">
        <f ca="1">9*OFFSET(L$112,MATCH($N$1,$C$112:$C$113,0)-1,0)</f>
        <v>9</v>
      </c>
      <c r="M41" s="43">
        <f ca="1">10.8*OFFSET(M$112,MATCH($N$1,$C$112:$C$113,0)-1,0)</f>
        <v>10.8</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159</v>
      </c>
      <c r="F46" s="90" t="s">
        <v>159</v>
      </c>
      <c r="G46" s="90" t="s">
        <v>159</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Under 10m demersal trawl/seine</v>
      </c>
      <c r="B48" s="202"/>
      <c r="C48" s="92"/>
      <c r="D48" s="92"/>
      <c r="E48" s="92"/>
      <c r="F48" s="92"/>
      <c r="G48" s="92"/>
      <c r="H48" s="202"/>
      <c r="I48" s="202"/>
      <c r="J48" s="202"/>
      <c r="K48" s="92" t="str">
        <f>$B24&amp;CHAR(10)&amp;$A$1</f>
        <v>Operating profit per kW day at sea (£)
Under 10m demersal trawl/seine</v>
      </c>
      <c r="L48" s="202"/>
      <c r="M48" s="202"/>
      <c r="N48" s="202"/>
      <c r="O48" s="202"/>
      <c r="P48" s="202"/>
    </row>
    <row r="49" spans="1:11" s="80" customFormat="1">
      <c r="A49" s="92" t="str">
        <f>$B22&amp;CHAR(10)&amp;$A$1</f>
        <v>Fishing income per kW day at sea (£)
Under 10m demersal trawl/seine</v>
      </c>
      <c r="B49" s="202"/>
      <c r="C49" s="202"/>
      <c r="D49" s="202"/>
      <c r="E49" s="202"/>
      <c r="F49" s="202"/>
      <c r="G49" s="202"/>
      <c r="H49" s="202"/>
      <c r="I49" s="202"/>
      <c r="J49" s="202"/>
      <c r="K49" s="202"/>
    </row>
    <row r="50" spans="1:11" s="80" customFormat="1">
      <c r="A50" s="92" t="str">
        <f>$B20&amp;CHAR(10)&amp;$A$1</f>
        <v>Average price per tonne landed (£)
Under 10m demersal trawl/seine</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Under 10m demersal trawl/seine</v>
      </c>
      <c r="C62" s="202"/>
      <c r="D62" s="202"/>
      <c r="E62" s="202"/>
      <c r="F62" s="92" t="str">
        <f>$B20&amp;CHAR(10)&amp;$A$1</f>
        <v>Average price per tonne landed (£)
Under 10m demersal trawl/seine</v>
      </c>
      <c r="G62" s="202"/>
      <c r="H62" s="202"/>
      <c r="I62" s="202"/>
      <c r="J62" s="202"/>
      <c r="K62" s="92" t="str">
        <f>"Average annual operating profit per vessel (£'000)"&amp;CHAR(10)&amp;$A$1</f>
        <v>Average annual operating profit per vessel (£'000)
Under 10m demersal trawl/seine</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Under 10m demersal trawl/seine</v>
      </c>
      <c r="F76" s="92" t="str">
        <f>"Top 5 landed species by value in "&amp;A77&amp;CHAR(10)&amp;A1</f>
        <v>Top 5 landed species by value in 2019
Under 10m demersal trawl/seine</v>
      </c>
    </row>
    <row r="77" spans="1:11" s="92" customFormat="1">
      <c r="A77" s="92">
        <v>2019</v>
      </c>
      <c r="B77" s="92" t="s">
        <v>573</v>
      </c>
      <c r="C77" s="93">
        <v>0.3913175465546162</v>
      </c>
      <c r="D77" s="94">
        <v>12153634</v>
      </c>
      <c r="G77" s="92" t="s">
        <v>574</v>
      </c>
      <c r="H77" s="93">
        <v>0.47654872351453675</v>
      </c>
      <c r="I77" s="94">
        <v>12153634</v>
      </c>
      <c r="K77" s="92" t="s">
        <v>230</v>
      </c>
    </row>
    <row r="78" spans="1:11" s="92" customFormat="1">
      <c r="B78" s="92" t="s">
        <v>575</v>
      </c>
      <c r="C78" s="93">
        <v>7.0616360636011649E-2</v>
      </c>
      <c r="D78" s="94">
        <v>3689192</v>
      </c>
      <c r="G78" s="92" t="s">
        <v>576</v>
      </c>
      <c r="H78" s="93">
        <v>0.10133079894396528</v>
      </c>
      <c r="I78" s="94">
        <v>553960</v>
      </c>
    </row>
    <row r="79" spans="1:11" s="92" customFormat="1">
      <c r="B79" s="92" t="s">
        <v>577</v>
      </c>
      <c r="C79" s="93">
        <v>6.8221881592654868E-2</v>
      </c>
      <c r="D79" s="94">
        <v>3050596</v>
      </c>
      <c r="G79" s="92" t="s">
        <v>578</v>
      </c>
      <c r="H79" s="93">
        <v>7.3152327593715025E-2</v>
      </c>
      <c r="I79" s="94">
        <v>3050596</v>
      </c>
    </row>
    <row r="80" spans="1:11" s="92" customFormat="1">
      <c r="B80" s="92" t="s">
        <v>579</v>
      </c>
      <c r="C80" s="93">
        <v>6.0583466245744538E-2</v>
      </c>
      <c r="D80" s="94">
        <v>11115023</v>
      </c>
      <c r="G80" s="92" t="s">
        <v>580</v>
      </c>
      <c r="H80" s="93">
        <v>5.1730241619473802E-2</v>
      </c>
      <c r="I80" s="94">
        <v>1692097</v>
      </c>
    </row>
    <row r="81" spans="1:19" s="92" customFormat="1">
      <c r="B81" s="92" t="s">
        <v>581</v>
      </c>
      <c r="C81" s="93">
        <v>5.3289270681679657E-2</v>
      </c>
      <c r="D81" s="94">
        <v>1692097</v>
      </c>
      <c r="G81" s="92" t="s">
        <v>474</v>
      </c>
      <c r="H81" s="93">
        <v>4.7230320838619701E-2</v>
      </c>
      <c r="I81" s="94">
        <v>3689192</v>
      </c>
    </row>
    <row r="82" spans="1:19" s="92" customFormat="1">
      <c r="B82" s="92" t="s">
        <v>582</v>
      </c>
      <c r="C82" s="93">
        <v>0.3559714742892931</v>
      </c>
      <c r="D82" s="94">
        <v>5920853</v>
      </c>
      <c r="G82" s="92" t="s">
        <v>583</v>
      </c>
      <c r="H82" s="93">
        <v>0.25000758748968943</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160</v>
      </c>
      <c r="D92" s="98">
        <v>0.45688726703527571</v>
      </c>
      <c r="E92" s="98">
        <v>0.47651576148383695</v>
      </c>
      <c r="F92" s="98">
        <v>0.48030103423782949</v>
      </c>
      <c r="G92" s="98">
        <v>0.5486506128302141</v>
      </c>
      <c r="H92" s="98">
        <v>0.4757522666569558</v>
      </c>
      <c r="I92" s="98">
        <v>0.50897410250597219</v>
      </c>
      <c r="J92" s="98">
        <v>0.48086354719956342</v>
      </c>
      <c r="K92" s="98">
        <v>0.49966774396386832</v>
      </c>
      <c r="L92" s="98">
        <v>0.47654872351453675</v>
      </c>
      <c r="M92" s="98">
        <v>0.39360045641707225</v>
      </c>
      <c r="O92" s="92">
        <v>12153634</v>
      </c>
    </row>
    <row r="93" spans="1:19" s="92" customFormat="1" hidden="1">
      <c r="B93" s="92">
        <v>2</v>
      </c>
      <c r="C93" s="92" t="s">
        <v>171</v>
      </c>
      <c r="D93" s="98">
        <v>0.17155981188790329</v>
      </c>
      <c r="E93" s="98">
        <v>0.11757045271554849</v>
      </c>
      <c r="F93" s="98">
        <v>0.12547485386848753</v>
      </c>
      <c r="G93" s="98">
        <v>7.8621005651854023E-2</v>
      </c>
      <c r="H93" s="98">
        <v>8.6353515762858699E-2</v>
      </c>
      <c r="I93" s="98">
        <v>7.4292353263172253E-2</v>
      </c>
      <c r="J93" s="98">
        <v>6.7167466000344872E-2</v>
      </c>
      <c r="K93" s="98">
        <v>9.4021609751084437E-2</v>
      </c>
      <c r="L93" s="98">
        <v>0.10133079894396528</v>
      </c>
      <c r="M93" s="98">
        <v>0.14448619443573235</v>
      </c>
      <c r="O93" s="92">
        <v>553960</v>
      </c>
    </row>
    <row r="94" spans="1:19" s="92" customFormat="1" hidden="1">
      <c r="B94" s="92">
        <v>3</v>
      </c>
      <c r="C94" s="92" t="s">
        <v>169</v>
      </c>
      <c r="D94" s="98">
        <v>4.5730954939591263E-2</v>
      </c>
      <c r="E94" s="98"/>
      <c r="F94" s="98">
        <v>4.2810390224912724E-2</v>
      </c>
      <c r="G94" s="98">
        <v>5.148440264264894E-2</v>
      </c>
      <c r="H94" s="98"/>
      <c r="I94" s="98">
        <v>5.1310628454169657E-2</v>
      </c>
      <c r="J94" s="98">
        <v>6.9365830866617142E-2</v>
      </c>
      <c r="K94" s="98">
        <v>7.9636557777047465E-2</v>
      </c>
      <c r="L94" s="98">
        <v>7.3152327593715025E-2</v>
      </c>
      <c r="M94" s="98">
        <v>6.6479958605022149E-2</v>
      </c>
      <c r="O94" s="92">
        <v>3050596</v>
      </c>
    </row>
    <row r="95" spans="1:19" s="92" customFormat="1" hidden="1">
      <c r="B95" s="92">
        <v>4</v>
      </c>
      <c r="C95" s="92" t="s">
        <v>162</v>
      </c>
      <c r="D95" s="98"/>
      <c r="E95" s="98"/>
      <c r="F95" s="98"/>
      <c r="G95" s="98"/>
      <c r="H95" s="98">
        <v>4.2445331947735726E-2</v>
      </c>
      <c r="I95" s="98">
        <v>4.5220728471012515E-2</v>
      </c>
      <c r="J95" s="98">
        <v>9.9179590925353542E-2</v>
      </c>
      <c r="K95" s="98"/>
      <c r="L95" s="98">
        <v>5.1730241619473802E-2</v>
      </c>
      <c r="M95" s="98"/>
      <c r="O95" s="92">
        <v>1692097</v>
      </c>
    </row>
    <row r="96" spans="1:19" s="92" customFormat="1" hidden="1">
      <c r="B96" s="92">
        <v>5</v>
      </c>
      <c r="C96" s="92" t="s">
        <v>168</v>
      </c>
      <c r="D96" s="98"/>
      <c r="E96" s="98"/>
      <c r="F96" s="98"/>
      <c r="G96" s="98"/>
      <c r="H96" s="98"/>
      <c r="I96" s="98"/>
      <c r="J96" s="98"/>
      <c r="K96" s="98">
        <v>7.0211297906862605E-2</v>
      </c>
      <c r="L96" s="98">
        <v>4.7230320838619701E-2</v>
      </c>
      <c r="M96" s="98">
        <v>4.010646373702783E-2</v>
      </c>
      <c r="O96" s="92">
        <v>3689192</v>
      </c>
    </row>
    <row r="97" spans="1:15" s="92" customFormat="1" hidden="1">
      <c r="B97" s="92">
        <v>6</v>
      </c>
      <c r="C97" s="92" t="s">
        <v>172</v>
      </c>
      <c r="D97" s="98">
        <v>5.6721728157643724E-2</v>
      </c>
      <c r="E97" s="98">
        <v>6.7552289845660821E-2</v>
      </c>
      <c r="F97" s="98">
        <v>4.8353042078686993E-2</v>
      </c>
      <c r="G97" s="98">
        <v>4.5163162417323613E-2</v>
      </c>
      <c r="H97" s="98">
        <v>5.7111106540407346E-2</v>
      </c>
      <c r="I97" s="98"/>
      <c r="J97" s="98">
        <v>4.810786048270458E-2</v>
      </c>
      <c r="K97" s="98">
        <v>4.659161418200522E-2</v>
      </c>
      <c r="L97" s="98"/>
      <c r="M97" s="98">
        <v>6.1281206017416288E-2</v>
      </c>
      <c r="O97" s="92">
        <v>11115023</v>
      </c>
    </row>
    <row r="98" spans="1:15" s="92" customFormat="1" hidden="1">
      <c r="B98" s="92">
        <v>7</v>
      </c>
      <c r="C98" s="92" t="s">
        <v>326</v>
      </c>
      <c r="D98" s="98">
        <v>3.0547701375498896E-2</v>
      </c>
      <c r="E98" s="98">
        <v>5.3448964192623585E-2</v>
      </c>
      <c r="F98" s="98">
        <v>5.3553319840432288E-2</v>
      </c>
      <c r="G98" s="98">
        <v>4.9089211866834154E-2</v>
      </c>
      <c r="H98" s="98">
        <v>5.3638306423876875E-2</v>
      </c>
      <c r="I98" s="98">
        <v>4.9198473645301104E-2</v>
      </c>
      <c r="J98" s="98"/>
      <c r="K98" s="98"/>
      <c r="L98" s="98"/>
      <c r="M98" s="98"/>
      <c r="O98" s="92">
        <v>2480382</v>
      </c>
    </row>
    <row r="99" spans="1:15" s="92" customFormat="1" hidden="1">
      <c r="B99" s="92">
        <v>8</v>
      </c>
      <c r="C99" s="92" t="s">
        <v>361</v>
      </c>
      <c r="D99" s="98"/>
      <c r="E99" s="98">
        <v>2.8362029990461474E-2</v>
      </c>
      <c r="F99" s="98"/>
      <c r="G99" s="98"/>
      <c r="H99" s="98"/>
      <c r="I99" s="98"/>
      <c r="J99" s="98"/>
      <c r="K99" s="98"/>
      <c r="L99" s="98"/>
      <c r="M99" s="98"/>
      <c r="O99" s="92">
        <v>7434864</v>
      </c>
    </row>
    <row r="100" spans="1:15" s="92" customFormat="1" hidden="1">
      <c r="B100" s="92">
        <v>9</v>
      </c>
      <c r="C100" s="92" t="s">
        <v>245</v>
      </c>
      <c r="D100" s="98">
        <v>0.23855253660408712</v>
      </c>
      <c r="E100" s="98">
        <v>0.25655050177186867</v>
      </c>
      <c r="F100" s="98">
        <v>0.24950735974965099</v>
      </c>
      <c r="G100" s="98">
        <v>0.22699160459112513</v>
      </c>
      <c r="H100" s="98">
        <v>0.28469947266816553</v>
      </c>
      <c r="I100" s="98">
        <v>0.27100371366037224</v>
      </c>
      <c r="J100" s="98">
        <v>0.23531570452541642</v>
      </c>
      <c r="K100" s="98">
        <v>0.209871176419132</v>
      </c>
      <c r="L100" s="98">
        <v>0.25000758748968949</v>
      </c>
      <c r="M100" s="98">
        <v>0.29404572078772911</v>
      </c>
      <c r="O100" s="92">
        <v>5920853</v>
      </c>
    </row>
    <row r="101" spans="1:15" s="92" customFormat="1" hidden="1">
      <c r="B101" s="92">
        <v>10</v>
      </c>
      <c r="D101" s="98"/>
      <c r="E101" s="98"/>
      <c r="F101" s="98"/>
      <c r="G101" s="98"/>
      <c r="H101" s="98"/>
      <c r="I101" s="98"/>
      <c r="J101" s="98"/>
      <c r="K101" s="98"/>
      <c r="L101" s="98"/>
      <c r="M101" s="98"/>
      <c r="O101" s="92">
        <v>14393110</v>
      </c>
    </row>
    <row r="102" spans="1:15" s="92" customFormat="1" hidden="1">
      <c r="B102" s="92">
        <v>11</v>
      </c>
      <c r="D102" s="98"/>
      <c r="E102" s="98"/>
      <c r="F102" s="98"/>
      <c r="G102" s="98"/>
      <c r="H102" s="98"/>
      <c r="I102" s="98"/>
      <c r="J102" s="98"/>
      <c r="K102" s="98"/>
      <c r="L102" s="98"/>
      <c r="M102" s="98"/>
      <c r="O102" s="92">
        <v>2887140</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10</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42</v>
      </c>
      <c r="D120" s="54">
        <v>83</v>
      </c>
      <c r="E120" s="54">
        <v>42</v>
      </c>
      <c r="F120" s="55">
        <v>167</v>
      </c>
    </row>
    <row r="121" spans="1:15" ht="18" customHeight="1">
      <c r="A121" s="173" t="s">
        <v>191</v>
      </c>
      <c r="B121" s="33" t="s">
        <v>192</v>
      </c>
      <c r="C121" s="56">
        <v>9.8088092803955078</v>
      </c>
      <c r="D121" s="56">
        <v>9.8418074228677401</v>
      </c>
      <c r="E121" s="56">
        <v>9.5845241546630859</v>
      </c>
      <c r="F121" s="57">
        <v>9.7688026428222656</v>
      </c>
      <c r="G121" s="206"/>
      <c r="H121" s="206"/>
      <c r="I121" s="206"/>
      <c r="J121" s="206"/>
      <c r="K121" s="206"/>
      <c r="L121" s="206"/>
      <c r="M121" s="206"/>
      <c r="N121" s="206"/>
      <c r="O121" s="206"/>
    </row>
    <row r="122" spans="1:15" ht="18" customHeight="1">
      <c r="A122" s="174"/>
      <c r="B122" s="35" t="s">
        <v>184</v>
      </c>
      <c r="C122" s="58">
        <v>127.83333587646484</v>
      </c>
      <c r="D122" s="58">
        <v>120.81927554578667</v>
      </c>
      <c r="E122" s="58">
        <v>97.976188659667969</v>
      </c>
      <c r="F122" s="59">
        <v>116.83832550048828</v>
      </c>
      <c r="G122" s="206"/>
      <c r="H122" s="206"/>
      <c r="I122" s="206"/>
      <c r="J122" s="206"/>
      <c r="K122" s="206"/>
      <c r="L122" s="206"/>
      <c r="M122" s="206"/>
      <c r="N122" s="206"/>
      <c r="O122" s="206"/>
    </row>
    <row r="123" spans="1:15" ht="18" customHeight="1">
      <c r="A123" s="174"/>
      <c r="B123" s="35" t="s">
        <v>185</v>
      </c>
      <c r="C123" s="58">
        <v>12.238095283508301</v>
      </c>
      <c r="D123" s="58">
        <v>11.349397532911185</v>
      </c>
      <c r="E123" s="58">
        <v>8.6904764175415039</v>
      </c>
      <c r="F123" s="59">
        <v>10.904191970825195</v>
      </c>
      <c r="G123" s="206"/>
      <c r="H123" s="206"/>
      <c r="I123" s="206"/>
      <c r="J123" s="206"/>
      <c r="K123" s="206"/>
      <c r="L123" s="206"/>
      <c r="M123" s="206"/>
      <c r="N123" s="206"/>
      <c r="O123" s="206"/>
    </row>
    <row r="124" spans="1:15" ht="18" customHeight="1">
      <c r="A124" s="174"/>
      <c r="B124" s="35" t="s">
        <v>186</v>
      </c>
      <c r="C124" s="58">
        <v>100.54095458984375</v>
      </c>
      <c r="D124" s="58">
        <v>95.665328979492188</v>
      </c>
      <c r="E124" s="58">
        <v>80.632278442382813</v>
      </c>
      <c r="F124" s="59">
        <v>93.110771179199219</v>
      </c>
      <c r="G124" s="206"/>
      <c r="H124" s="206"/>
      <c r="I124" s="206"/>
      <c r="J124" s="206"/>
      <c r="K124" s="206"/>
      <c r="L124" s="206"/>
      <c r="M124" s="206"/>
      <c r="N124" s="206"/>
      <c r="O124" s="206"/>
    </row>
    <row r="125" spans="1:15" ht="18" customHeight="1">
      <c r="A125" s="174"/>
      <c r="B125" s="35" t="s">
        <v>187</v>
      </c>
      <c r="C125" s="31">
        <v>50.869583129882813</v>
      </c>
      <c r="D125" s="31">
        <v>30.767790553081465</v>
      </c>
      <c r="E125" s="31">
        <v>15.223366737365723</v>
      </c>
      <c r="F125" s="60">
        <v>31.913955688476563</v>
      </c>
      <c r="G125" s="206"/>
      <c r="H125" s="206"/>
      <c r="I125" s="206"/>
      <c r="J125" s="206"/>
      <c r="K125" s="206"/>
      <c r="L125" s="206"/>
      <c r="M125" s="206"/>
      <c r="N125" s="206"/>
      <c r="O125" s="206"/>
    </row>
    <row r="126" spans="1:15" ht="18" customHeight="1">
      <c r="A126" s="174"/>
      <c r="B126" s="35" t="s">
        <v>193</v>
      </c>
      <c r="C126" s="31">
        <f ca="1">160.353390625*OFFSET($L$112,MATCH($N$1,$C$112:$C$113,0)-1,0)</f>
        <v>160.353390625</v>
      </c>
      <c r="D126" s="31">
        <f ca="1">76.7999061558735*OFFSET($L$112,MATCH($N$1,$C$112:$C$113,0)-1,0)</f>
        <v>76.799906155873501</v>
      </c>
      <c r="E126" s="31">
        <f ca="1">38.4996640625*OFFSET($L$112,MATCH($N$1,$C$112:$C$113,0)-1,0)</f>
        <v>38.499664062500003</v>
      </c>
      <c r="F126" s="60">
        <f ca="1">88.1809609375*OFFSET($L$112,MATCH($N$1,$C$112:$C$113,0)-1,0)</f>
        <v>88.180960937500004</v>
      </c>
      <c r="G126" s="206"/>
      <c r="H126" s="206"/>
      <c r="I126" s="206"/>
      <c r="J126" s="206"/>
      <c r="K126" s="206"/>
      <c r="L126" s="206"/>
      <c r="M126" s="206"/>
      <c r="N126" s="206"/>
      <c r="O126" s="206"/>
    </row>
    <row r="127" spans="1:15" ht="18" customHeight="1">
      <c r="A127" s="174"/>
      <c r="B127" s="35" t="s">
        <v>189</v>
      </c>
      <c r="C127" s="58">
        <v>95.833335876464844</v>
      </c>
      <c r="D127" s="58">
        <v>93.253012783556102</v>
      </c>
      <c r="E127" s="58">
        <v>92.928573608398438</v>
      </c>
      <c r="F127" s="59">
        <v>93.820358276367188</v>
      </c>
      <c r="G127" s="206"/>
      <c r="H127" s="206"/>
      <c r="I127" s="206"/>
      <c r="J127" s="206"/>
      <c r="K127" s="206"/>
      <c r="L127" s="206"/>
      <c r="M127" s="206"/>
      <c r="N127" s="206"/>
      <c r="O127" s="206"/>
    </row>
    <row r="128" spans="1:15" ht="18" customHeight="1">
      <c r="A128" s="174"/>
      <c r="B128" s="35" t="s">
        <v>194</v>
      </c>
      <c r="C128" s="58">
        <v>21.214284896850586</v>
      </c>
      <c r="D128" s="58">
        <v>24.698794583240186</v>
      </c>
      <c r="E128" s="58">
        <v>33.666667938232422</v>
      </c>
      <c r="F128" s="59">
        <v>26.077844619750977</v>
      </c>
      <c r="G128" s="206"/>
      <c r="H128" s="206"/>
      <c r="I128" s="206"/>
      <c r="J128" s="206"/>
      <c r="K128" s="206"/>
      <c r="L128" s="206"/>
      <c r="M128" s="206"/>
      <c r="N128" s="206"/>
      <c r="O128" s="206"/>
    </row>
    <row r="129" spans="1:15" ht="18" customHeight="1">
      <c r="A129" s="174"/>
      <c r="B129" s="35" t="s">
        <v>195</v>
      </c>
      <c r="C129" s="61">
        <v>0.53081303834915161</v>
      </c>
      <c r="D129" s="61">
        <v>0.3299388366625185</v>
      </c>
      <c r="E129" s="61">
        <v>0.16381792724132538</v>
      </c>
      <c r="F129" s="62">
        <v>0.34016025066375732</v>
      </c>
      <c r="G129" s="206"/>
      <c r="H129" s="206"/>
      <c r="I129" s="206"/>
      <c r="J129" s="206"/>
      <c r="K129" s="206"/>
      <c r="L129" s="206"/>
      <c r="M129" s="206"/>
      <c r="N129" s="206"/>
      <c r="O129" s="206"/>
    </row>
    <row r="130" spans="1:15" ht="18" customHeight="1">
      <c r="A130" s="175"/>
      <c r="B130" s="37" t="s">
        <v>196</v>
      </c>
      <c r="C130" s="38">
        <f ca="1">3152.24503050433*OFFSET($L$112,MATCH($N$1,$C$112:$C$113,0)-1,0)</f>
        <v>3152.2450305043299</v>
      </c>
      <c r="D130" s="38">
        <f ca="1">2496.11378572589*OFFSET($L$112,MATCH($N$1,$C$112:$C$113,0)-1,0)</f>
        <v>2496.11378572589</v>
      </c>
      <c r="E130" s="38">
        <f ca="1">2528.98486430092*OFFSET($L$112,MATCH($N$1,$C$112:$C$113,0)-1,0)</f>
        <v>2528.98486430092</v>
      </c>
      <c r="F130" s="63">
        <f ca="1">2763*OFFSET($L$112,MATCH($N$1,$C$112:$C$113,0)-1,0)</f>
        <v>2763</v>
      </c>
      <c r="G130" s="206"/>
      <c r="H130" s="206"/>
      <c r="I130" s="206"/>
      <c r="J130" s="206"/>
      <c r="K130" s="206"/>
      <c r="L130" s="206"/>
      <c r="M130" s="206"/>
      <c r="N130" s="206"/>
      <c r="O130" s="206"/>
    </row>
    <row r="131" spans="1:15" ht="18" customHeight="1">
      <c r="A131" s="184" t="s">
        <v>197</v>
      </c>
      <c r="B131" s="33" t="s">
        <v>198</v>
      </c>
      <c r="C131" s="64">
        <v>4.0365132829500681</v>
      </c>
      <c r="D131" s="64">
        <v>2.6802701970126095</v>
      </c>
      <c r="E131" s="64">
        <v>1.6135767157982572</v>
      </c>
      <c r="F131" s="65">
        <v>2.8374197024033405</v>
      </c>
      <c r="G131" s="206"/>
      <c r="H131" s="206"/>
      <c r="I131" s="206"/>
      <c r="J131" s="206"/>
      <c r="K131" s="206"/>
      <c r="L131" s="206"/>
      <c r="M131" s="206"/>
      <c r="N131" s="206"/>
      <c r="O131" s="206"/>
    </row>
    <row r="132" spans="1:15" ht="18" customHeight="1">
      <c r="A132" s="185"/>
      <c r="B132" s="35" t="s">
        <v>199</v>
      </c>
      <c r="C132" s="61">
        <f ca="1">12.7240789367441*OFFSET($L$112,MATCH($N$1,$C$112:$C$113,0)-1,0)</f>
        <v>12.7240789367441</v>
      </c>
      <c r="D132" s="61">
        <f ca="1">6.69025938823343*OFFSET($L$112,MATCH($N$1,$C$112:$C$113,0)-1,0)</f>
        <v>6.6902593882334296</v>
      </c>
      <c r="E132" s="61">
        <f ca="1">4.08071109164218*OFFSET($L$112,MATCH($N$1,$C$112:$C$113,0)-1,0)</f>
        <v>4.08071109164218</v>
      </c>
      <c r="F132" s="62">
        <f ca="1">7.84003081232785*OFFSET($L$112,MATCH($N$1,$C$112:$C$113,0)-1,0)</f>
        <v>7.8400308123278499</v>
      </c>
      <c r="G132" s="206"/>
      <c r="H132" s="206"/>
      <c r="I132" s="206"/>
      <c r="J132" s="206"/>
      <c r="K132" s="206"/>
      <c r="L132" s="206"/>
      <c r="M132" s="206"/>
      <c r="N132" s="206"/>
      <c r="O132" s="206"/>
    </row>
    <row r="133" spans="1:15" ht="18" customHeight="1">
      <c r="A133" s="185"/>
      <c r="B133" s="35" t="s">
        <v>154</v>
      </c>
      <c r="C133" s="61">
        <f ca="1">9.80282613914466*OFFSET($L$112,MATCH($N$1,$C$112:$C$113,0)-1,0)</f>
        <v>9.8028261391446598</v>
      </c>
      <c r="D133" s="61">
        <f ca="1">5.57980600444362*OFFSET($L$112,MATCH($N$1,$C$112:$C$113,0)-1,0)</f>
        <v>5.5798060044436202</v>
      </c>
      <c r="E133" s="61">
        <f ca="1">3.87321337945427*OFFSET($L$112,MATCH($N$1,$C$112:$C$113,0)-1,0)</f>
        <v>3.87321337945427</v>
      </c>
      <c r="F133" s="62">
        <f ca="1">6.40979614616685*OFFSET($L$112,MATCH($N$1,$C$112:$C$113,0)-1,0)</f>
        <v>6.4097961461668502</v>
      </c>
      <c r="G133" s="206"/>
      <c r="H133" s="206"/>
      <c r="I133" s="206"/>
      <c r="J133" s="206"/>
      <c r="K133" s="206"/>
      <c r="L133" s="206"/>
      <c r="M133" s="206"/>
      <c r="N133" s="206"/>
      <c r="O133" s="206"/>
    </row>
    <row r="134" spans="1:15" ht="18" customHeight="1">
      <c r="A134" s="186"/>
      <c r="B134" s="37" t="s">
        <v>155</v>
      </c>
      <c r="C134" s="66">
        <f ca="1">2.92125279759941*OFFSET($L$112,MATCH($N$1,$C$112:$C$113,0)-1,0)</f>
        <v>2.92125279759941</v>
      </c>
      <c r="D134" s="66">
        <f ca="1">1.1104533837898*OFFSET($L$112,MATCH($N$1,$C$112:$C$113,0)-1,0)</f>
        <v>1.1104533837898001</v>
      </c>
      <c r="E134" s="66">
        <f ca="1">0.207497712187908*OFFSET($L$112,MATCH($N$1,$C$112:$C$113,0)-1,0)</f>
        <v>0.207497712187908</v>
      </c>
      <c r="F134" s="67">
        <f ca="1">1.430234666161*OFFSET($L$112,MATCH($N$1,$C$112:$C$113,0)-1,0)</f>
        <v>1.4302346661609999</v>
      </c>
      <c r="G134" s="206"/>
      <c r="H134" s="206"/>
      <c r="I134" s="206"/>
      <c r="J134" s="206"/>
      <c r="K134" s="206"/>
      <c r="L134" s="206"/>
      <c r="M134" s="206"/>
      <c r="N134" s="206"/>
      <c r="O134" s="206"/>
    </row>
    <row r="135" spans="1:15" ht="18" customHeight="1">
      <c r="A135" s="187" t="s">
        <v>254</v>
      </c>
      <c r="B135" s="35" t="s">
        <v>255</v>
      </c>
      <c r="C135" s="68">
        <f ca="1">10.283927734375*OFFSET($L$112,MATCH($N$1,$C$112:$C$113,0)-1,0)</f>
        <v>10.283927734375</v>
      </c>
      <c r="D135" s="68">
        <f ca="1">9.81018126411898*OFFSET($L$112,MATCH($N$1,$C$112:$C$113,0)-1,0)</f>
        <v>9.8101812641189792</v>
      </c>
      <c r="E135" s="68">
        <f ca="1">9.3503779296875*OFFSET($L$112,MATCH($N$1,$C$112:$C$113,0)-1,0)</f>
        <v>9.3503779296875003</v>
      </c>
      <c r="F135" s="69">
        <f ca="1">9.8136884765625*OFFSET($L$112,MATCH($N$1,$C$112:$C$113,0)-1,0)</f>
        <v>9.8136884765625005</v>
      </c>
      <c r="G135" s="206"/>
      <c r="H135" s="206"/>
      <c r="I135" s="206"/>
      <c r="J135" s="206"/>
      <c r="K135" s="206"/>
      <c r="L135" s="206"/>
      <c r="M135" s="206"/>
      <c r="N135" s="206"/>
      <c r="O135" s="206"/>
    </row>
    <row r="136" spans="1:15" ht="18" customHeight="1">
      <c r="A136" s="188"/>
      <c r="B136" s="35" t="s">
        <v>256</v>
      </c>
      <c r="C136" s="30">
        <v>19611.428844810463</v>
      </c>
      <c r="D136" s="30">
        <v>18677.350191000438</v>
      </c>
      <c r="E136" s="30">
        <v>17782.380837261444</v>
      </c>
      <c r="F136" s="70">
        <v>18687.185628742514</v>
      </c>
      <c r="G136" s="206"/>
      <c r="H136" s="206"/>
      <c r="I136" s="206"/>
      <c r="J136" s="206"/>
      <c r="K136" s="206"/>
      <c r="L136" s="206"/>
      <c r="M136" s="206"/>
      <c r="N136" s="206"/>
      <c r="O136" s="206"/>
    </row>
    <row r="137" spans="1:15" ht="18" customHeight="1">
      <c r="A137" s="188"/>
      <c r="B137" s="35" t="s">
        <v>257</v>
      </c>
      <c r="C137" s="30">
        <v>204.6409912109375</v>
      </c>
      <c r="D137" s="30">
        <v>200.28682863417293</v>
      </c>
      <c r="E137" s="30">
        <v>191.35536193847656</v>
      </c>
      <c r="F137" s="70">
        <v>199.18049621582031</v>
      </c>
      <c r="G137" s="206"/>
      <c r="H137" s="206"/>
      <c r="I137" s="206"/>
      <c r="J137" s="206"/>
      <c r="K137" s="206"/>
      <c r="L137" s="206"/>
      <c r="M137" s="206"/>
      <c r="N137" s="206"/>
      <c r="O137" s="206"/>
    </row>
    <row r="138" spans="1:15" ht="18" customHeight="1">
      <c r="A138" s="188"/>
      <c r="B138" s="35" t="s">
        <v>258</v>
      </c>
      <c r="C138" s="30">
        <f ca="1">107.310547424037*OFFSET($L$112,MATCH($N$1,$C$112:$C$113,0)-1,0)</f>
        <v>107.310547424037</v>
      </c>
      <c r="D138" s="30">
        <f ca="1">105.19961737739*OFFSET($L$112,MATCH($N$1,$C$112:$C$113,0)-1,0)</f>
        <v>105.19961737739</v>
      </c>
      <c r="E138" s="30">
        <f ca="1">100.618976129883*OFFSET($L$112,MATCH($N$1,$C$112:$C$113,0)-1,0)</f>
        <v>100.61897612988299</v>
      </c>
      <c r="F138" s="70">
        <f ca="1">104.600842043837*OFFSET($L$112,MATCH($N$1,$C$112:$C$113,0)-1,0)</f>
        <v>104.60084204383701</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202.162610771108*OFFSET($L$112,MATCH($N$1,$C$112:$C$113,0)-1,0)</f>
        <v>202.16261077110801</v>
      </c>
      <c r="D139" s="30">
        <f ca="1">318.845815307868*OFFSET($L$112,MATCH($N$1,$C$112:$C$113,0)-1,0)</f>
        <v>318.84581530786801</v>
      </c>
      <c r="E139" s="30">
        <f ca="1">614.212223288099*OFFSET($L$112,MATCH($N$1,$C$112:$C$113,0)-1,0)</f>
        <v>614.21222328809904</v>
      </c>
      <c r="F139" s="70">
        <f ca="1">307.504609342615*OFFSET($L$112,MATCH($N$1,$C$112:$C$113,0)-1,0)</f>
        <v>307.50460934261503</v>
      </c>
      <c r="G139" s="206"/>
      <c r="H139" s="206"/>
      <c r="I139" s="46"/>
      <c r="J139" s="206"/>
      <c r="K139" s="71" t="s">
        <v>260</v>
      </c>
      <c r="L139" s="72">
        <f t="shared" ref="L139:M141" ca="1" si="2">C140</f>
        <v>166.713296875</v>
      </c>
      <c r="M139" s="72">
        <f t="shared" ca="1" si="2"/>
        <v>79.845922722138596</v>
      </c>
      <c r="N139" s="72">
        <f ca="1">E140</f>
        <v>40.026628906249996</v>
      </c>
      <c r="O139" s="72"/>
    </row>
    <row r="140" spans="1:15" ht="18" customHeight="1">
      <c r="A140" s="166" t="s">
        <v>261</v>
      </c>
      <c r="B140" s="33" t="s">
        <v>262</v>
      </c>
      <c r="C140" s="73">
        <f ca="1">166.713296875*OFFSET($L$112,MATCH($N$1,$C$112:$C$113,0)-1,0)</f>
        <v>166.713296875</v>
      </c>
      <c r="D140" s="73">
        <f ca="1">79.8459227221386*OFFSET($L$112,MATCH($N$1,$C$112:$C$113,0)-1,0)</f>
        <v>79.845922722138596</v>
      </c>
      <c r="E140" s="73">
        <f ca="1">40.02662890625*OFFSET($L$112,MATCH($N$1,$C$112:$C$113,0)-1,0)</f>
        <v>40.026628906249996</v>
      </c>
      <c r="F140" s="74">
        <f ca="1">91.678375*OFFSET($L$112,MATCH($N$1,$C$112:$C$113,0)-1,0)</f>
        <v>91.678375000000003</v>
      </c>
      <c r="G140" s="206"/>
      <c r="H140" s="206"/>
      <c r="I140" s="46"/>
      <c r="J140" s="206"/>
      <c r="K140" s="71" t="s">
        <v>263</v>
      </c>
      <c r="L140" s="72">
        <f t="shared" ca="1" si="2"/>
        <v>129.89861718750001</v>
      </c>
      <c r="M140" s="72">
        <f t="shared" ca="1" si="2"/>
        <v>67.098626882530098</v>
      </c>
      <c r="N140" s="72">
        <f ca="1">E141</f>
        <v>38.068980468749999</v>
      </c>
      <c r="O140" s="72"/>
    </row>
    <row r="141" spans="1:15" ht="18" customHeight="1">
      <c r="A141" s="167"/>
      <c r="B141" s="35" t="s">
        <v>264</v>
      </c>
      <c r="C141" s="30">
        <f ca="1">129.8986171875*OFFSET($L$112,MATCH($N$1,$C$112:$C$113,0)-1,0)</f>
        <v>129.89861718750001</v>
      </c>
      <c r="D141" s="30">
        <f ca="1">67.0986268825301*OFFSET($L$112,MATCH($N$1,$C$112:$C$113,0)-1,0)</f>
        <v>67.098626882530098</v>
      </c>
      <c r="E141" s="30">
        <f ca="1">38.06898046875*OFFSET($L$112,MATCH($N$1,$C$112:$C$113,0)-1,0)</f>
        <v>38.068980468749999</v>
      </c>
      <c r="F141" s="70">
        <f ca="1">75.591765625*OFFSET($L$112,MATCH($N$1,$C$112:$C$113,0)-1,0)</f>
        <v>75.591765624999994</v>
      </c>
      <c r="G141" s="206"/>
      <c r="H141" s="206"/>
      <c r="I141" s="46"/>
      <c r="J141" s="206"/>
      <c r="K141" s="71" t="s">
        <v>265</v>
      </c>
      <c r="L141" s="72">
        <f t="shared" ca="1" si="2"/>
        <v>36.814679687500004</v>
      </c>
      <c r="M141" s="72">
        <f t="shared" ca="1" si="2"/>
        <v>12.7472958396084</v>
      </c>
      <c r="N141" s="72">
        <f ca="1">E142</f>
        <v>1.9576484375000001</v>
      </c>
      <c r="O141" s="72"/>
    </row>
    <row r="142" spans="1:15" ht="18" customHeight="1">
      <c r="A142" s="168"/>
      <c r="B142" s="37" t="s">
        <v>266</v>
      </c>
      <c r="C142" s="38">
        <f ca="1">36.8146796875*OFFSET($L$112,MATCH($N$1,$C$112:$C$113,0)-1,0)</f>
        <v>36.814679687500004</v>
      </c>
      <c r="D142" s="38">
        <f ca="1">12.7472958396084*OFFSET($L$112,MATCH($N$1,$C$112:$C$113,0)-1,0)</f>
        <v>12.7472958396084</v>
      </c>
      <c r="E142" s="38">
        <f ca="1">1.9576484375*OFFSET($L$112,MATCH($N$1,$C$112:$C$113,0)-1,0)</f>
        <v>1.9576484375000001</v>
      </c>
      <c r="F142" s="63">
        <f ca="1">16.086603515625*OFFSET($L$112,MATCH($N$1,$C$112:$C$113,0)-1,0)</f>
        <v>16.086603515625001</v>
      </c>
      <c r="G142" s="206"/>
      <c r="H142" s="206"/>
      <c r="I142" s="46"/>
      <c r="J142" s="206"/>
      <c r="K142" s="71" t="s">
        <v>267</v>
      </c>
      <c r="L142" s="75">
        <f ca="1">IFERROR(L140/L$139,"")</f>
        <v>0.77917370493186711</v>
      </c>
      <c r="M142" s="75">
        <f t="shared" ref="M142:N143" ca="1" si="3">IFERROR(M140/M$139,"")</f>
        <v>0.84035132408740887</v>
      </c>
      <c r="N142" s="75">
        <f t="shared" ca="1" si="3"/>
        <v>0.95109134865978384</v>
      </c>
      <c r="O142" s="75"/>
    </row>
    <row r="143" spans="1:15" ht="18" customHeight="1">
      <c r="A143" s="206"/>
      <c r="B143" s="206"/>
      <c r="C143" s="206"/>
      <c r="D143" s="206"/>
      <c r="E143" s="206"/>
      <c r="F143" s="206"/>
      <c r="G143" s="206"/>
      <c r="H143" s="206"/>
      <c r="I143" s="46"/>
      <c r="J143" s="206"/>
      <c r="K143" s="71" t="s">
        <v>268</v>
      </c>
      <c r="L143" s="75">
        <f ca="1">IFERROR(L141/L$139,"")</f>
        <v>0.22082629506813301</v>
      </c>
      <c r="M143" s="75">
        <f t="shared" ca="1" si="3"/>
        <v>0.15964867591258985</v>
      </c>
      <c r="N143" s="75">
        <f t="shared" ca="1" si="3"/>
        <v>4.8908651340216193E-2</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10</v>
      </c>
      <c r="B161" s="51"/>
      <c r="C161" s="76" t="s">
        <v>249</v>
      </c>
      <c r="D161" s="76" t="s">
        <v>270</v>
      </c>
      <c r="E161" s="76" t="s">
        <v>251</v>
      </c>
      <c r="F161" s="76" t="s">
        <v>271</v>
      </c>
      <c r="G161" s="77">
        <v>8</v>
      </c>
      <c r="H161" s="76"/>
      <c r="I161" s="76" t="s">
        <v>249</v>
      </c>
      <c r="J161" s="76" t="s">
        <v>270</v>
      </c>
      <c r="K161" s="76" t="s">
        <v>251</v>
      </c>
      <c r="L161" s="51" t="s">
        <v>271</v>
      </c>
      <c r="R161" s="206"/>
      <c r="S161" s="206"/>
    </row>
    <row r="162" spans="1:19" s="46" customFormat="1">
      <c r="A162" s="47">
        <v>1</v>
      </c>
      <c r="B162" s="51" t="s">
        <v>160</v>
      </c>
      <c r="C162" s="51">
        <v>0.41706625014455168</v>
      </c>
      <c r="D162" s="51">
        <v>0.47703882974273981</v>
      </c>
      <c r="E162" s="51">
        <v>0.32881563152556531</v>
      </c>
      <c r="F162" s="47">
        <v>12153634</v>
      </c>
      <c r="G162" s="47">
        <v>1</v>
      </c>
      <c r="H162" s="51" t="s">
        <v>160</v>
      </c>
      <c r="I162" s="51">
        <v>0.47611889999794782</v>
      </c>
      <c r="J162" s="51">
        <v>0.55779701457739128</v>
      </c>
      <c r="K162" s="51">
        <v>0.45689758784113821</v>
      </c>
      <c r="L162" s="47">
        <v>12153634</v>
      </c>
      <c r="R162" s="206"/>
      <c r="S162" s="206"/>
    </row>
    <row r="163" spans="1:19" s="46" customFormat="1">
      <c r="A163" s="47">
        <v>2</v>
      </c>
      <c r="B163" s="51" t="s">
        <v>168</v>
      </c>
      <c r="C163" s="51">
        <v>6.0678513256930827E-2</v>
      </c>
      <c r="D163" s="51">
        <v>9.7109425738658078E-2</v>
      </c>
      <c r="E163" s="51">
        <v>7.2497416621919927E-2</v>
      </c>
      <c r="F163" s="47">
        <v>3689192</v>
      </c>
      <c r="G163" s="47">
        <v>2</v>
      </c>
      <c r="H163" s="51" t="s">
        <v>171</v>
      </c>
      <c r="I163" s="51">
        <v>9.7815720398624031E-2</v>
      </c>
      <c r="J163" s="51">
        <v>0.12368944729469734</v>
      </c>
      <c r="K163" s="51">
        <v>9.4099480040916852E-2</v>
      </c>
      <c r="L163" s="47">
        <v>553960</v>
      </c>
      <c r="N163" s="46" t="s">
        <v>272</v>
      </c>
      <c r="R163" s="206"/>
      <c r="S163" s="206"/>
    </row>
    <row r="164" spans="1:19" s="46" customFormat="1">
      <c r="A164" s="47">
        <v>3</v>
      </c>
      <c r="B164" s="51" t="s">
        <v>274</v>
      </c>
      <c r="C164" s="51">
        <v>0</v>
      </c>
      <c r="D164" s="51">
        <v>9.3005629873078949E-2</v>
      </c>
      <c r="E164" s="51">
        <v>0.11690267883777818</v>
      </c>
      <c r="F164" s="47">
        <v>11115023</v>
      </c>
      <c r="G164" s="47">
        <v>3</v>
      </c>
      <c r="H164" s="51" t="s">
        <v>169</v>
      </c>
      <c r="I164" s="51">
        <v>8.6652913508982396E-2</v>
      </c>
      <c r="J164" s="51">
        <v>7.8661113046540304E-2</v>
      </c>
      <c r="K164" s="51">
        <v>8.9366493701755312E-2</v>
      </c>
      <c r="L164" s="47">
        <v>3050596</v>
      </c>
      <c r="N164" s="46" t="s">
        <v>273</v>
      </c>
      <c r="R164" s="206"/>
      <c r="S164" s="206"/>
    </row>
    <row r="165" spans="1:19" s="46" customFormat="1">
      <c r="A165" s="47">
        <v>4</v>
      </c>
      <c r="B165" s="51" t="s">
        <v>169</v>
      </c>
      <c r="C165" s="51">
        <v>8.8503631389355242E-2</v>
      </c>
      <c r="D165" s="51">
        <v>5.5693081571545039E-2</v>
      </c>
      <c r="E165" s="51">
        <v>9.3209778652825009E-2</v>
      </c>
      <c r="F165" s="47">
        <v>3050596</v>
      </c>
      <c r="G165" s="47">
        <v>4</v>
      </c>
      <c r="H165" s="51" t="s">
        <v>168</v>
      </c>
      <c r="I165" s="51">
        <v>0</v>
      </c>
      <c r="J165" s="51">
        <v>6.220097544579474E-2</v>
      </c>
      <c r="K165" s="51">
        <v>5.265232513604428E-2</v>
      </c>
      <c r="L165" s="47">
        <v>3689192</v>
      </c>
      <c r="R165" s="206"/>
      <c r="S165" s="206"/>
    </row>
    <row r="166" spans="1:19" s="46" customFormat="1">
      <c r="A166" s="47">
        <v>5</v>
      </c>
      <c r="B166" s="51" t="s">
        <v>244</v>
      </c>
      <c r="C166" s="51">
        <v>0</v>
      </c>
      <c r="D166" s="51">
        <v>5.249638353005523E-2</v>
      </c>
      <c r="E166" s="51">
        <v>0</v>
      </c>
      <c r="F166" s="47">
        <v>2480382</v>
      </c>
      <c r="G166" s="47">
        <v>5</v>
      </c>
      <c r="H166" s="51" t="s">
        <v>162</v>
      </c>
      <c r="I166" s="51">
        <v>6.322841361123864E-2</v>
      </c>
      <c r="J166" s="51">
        <v>5.0049173768342135E-2</v>
      </c>
      <c r="K166" s="51">
        <v>3.7281553610689605E-2</v>
      </c>
      <c r="L166" s="47">
        <v>1692097</v>
      </c>
      <c r="R166" s="206"/>
      <c r="S166" s="206"/>
    </row>
    <row r="167" spans="1:19" s="46" customFormat="1">
      <c r="A167" s="47">
        <v>6</v>
      </c>
      <c r="B167" s="51" t="s">
        <v>329</v>
      </c>
      <c r="C167" s="51">
        <v>0</v>
      </c>
      <c r="D167" s="51">
        <v>0</v>
      </c>
      <c r="E167" s="51">
        <v>5.9100560825726386E-2</v>
      </c>
      <c r="F167" s="47">
        <v>7434864</v>
      </c>
      <c r="G167" s="47">
        <v>6</v>
      </c>
      <c r="H167" s="51" t="s">
        <v>172</v>
      </c>
      <c r="I167" s="51">
        <v>5.7598614378667673E-2</v>
      </c>
      <c r="J167" s="51">
        <v>0</v>
      </c>
      <c r="K167" s="51">
        <v>0</v>
      </c>
      <c r="L167" s="47">
        <v>8497745</v>
      </c>
      <c r="R167" s="206"/>
      <c r="S167" s="206"/>
    </row>
    <row r="168" spans="1:19" s="46" customFormat="1">
      <c r="A168" s="47">
        <v>7</v>
      </c>
      <c r="B168" s="51" t="s">
        <v>162</v>
      </c>
      <c r="C168" s="51">
        <v>7.4552973959216548E-2</v>
      </c>
      <c r="D168" s="51">
        <v>0</v>
      </c>
      <c r="E168" s="51">
        <v>0</v>
      </c>
      <c r="F168" s="47">
        <v>1692097</v>
      </c>
      <c r="G168" s="47">
        <v>7</v>
      </c>
      <c r="H168" s="51" t="s">
        <v>245</v>
      </c>
      <c r="I168" s="51">
        <v>0.21858543810453945</v>
      </c>
      <c r="J168" s="51">
        <v>0.12760227586723416</v>
      </c>
      <c r="K168" s="51">
        <v>0.26970255966945578</v>
      </c>
      <c r="L168" s="47">
        <v>5920853</v>
      </c>
      <c r="R168" s="206"/>
      <c r="S168" s="206"/>
    </row>
    <row r="169" spans="1:19" s="46" customFormat="1">
      <c r="A169" s="47">
        <v>8</v>
      </c>
      <c r="B169" s="51" t="s">
        <v>172</v>
      </c>
      <c r="C169" s="51">
        <v>7.0050046587917816E-2</v>
      </c>
      <c r="D169" s="51">
        <v>0</v>
      </c>
      <c r="E169" s="51">
        <v>0</v>
      </c>
      <c r="F169" s="47">
        <v>8497745</v>
      </c>
      <c r="G169" s="47">
        <v>8</v>
      </c>
      <c r="H169" s="51"/>
      <c r="I169" s="51">
        <v>0</v>
      </c>
      <c r="J169" s="51">
        <v>0</v>
      </c>
      <c r="K169" s="51">
        <v>0</v>
      </c>
      <c r="L169" s="47"/>
      <c r="R169" s="206"/>
      <c r="S169" s="206"/>
    </row>
    <row r="170" spans="1:19" s="46" customFormat="1">
      <c r="A170" s="47">
        <v>9</v>
      </c>
      <c r="B170" s="51" t="s">
        <v>245</v>
      </c>
      <c r="C170" s="51">
        <v>0.28914858466202786</v>
      </c>
      <c r="D170" s="51">
        <v>0.22465664954392284</v>
      </c>
      <c r="E170" s="51">
        <v>0.32947393353618526</v>
      </c>
      <c r="F170" s="47">
        <v>5920853</v>
      </c>
      <c r="G170" s="47">
        <v>9</v>
      </c>
      <c r="H170" s="51"/>
      <c r="I170" s="51">
        <v>0</v>
      </c>
      <c r="J170" s="51">
        <v>0</v>
      </c>
      <c r="K170" s="51">
        <v>0</v>
      </c>
      <c r="L170" s="47"/>
      <c r="R170" s="206"/>
      <c r="S170" s="206"/>
    </row>
    <row r="171" spans="1:19" s="46" customFormat="1">
      <c r="A171" s="47">
        <v>10</v>
      </c>
      <c r="B171" s="51"/>
      <c r="C171" s="51">
        <v>0</v>
      </c>
      <c r="D171" s="51">
        <v>0</v>
      </c>
      <c r="E171" s="51">
        <v>0</v>
      </c>
      <c r="F171" s="47"/>
      <c r="G171" s="47">
        <v>10</v>
      </c>
      <c r="H171" s="51"/>
      <c r="I171" s="51">
        <v>0</v>
      </c>
      <c r="J171" s="51">
        <v>0</v>
      </c>
      <c r="K171" s="51">
        <v>0</v>
      </c>
      <c r="L171" s="47"/>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8381E603-88FD-47E6-9B66-7D0DA987B260}">
      <formula1>$C$112:$C$113</formula1>
    </dataValidation>
  </dataValidations>
  <hyperlinks>
    <hyperlink ref="O1:P1" location="Home_page" display="Back to home page" xr:uid="{5D141CBB-0944-479F-BE22-0492FAFB8BC8}"/>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AE3C0D97-EF75-4342-AF41-C3A1ED5FE400}">
          <x14:colorSeries rgb="FF323232"/>
          <x14:colorNegative rgb="FFD00000"/>
          <x14:colorAxis rgb="FF000000"/>
          <x14:colorMarkers rgb="FFD00000"/>
          <x14:colorFirst rgb="FFD00000"/>
          <x14:colorLast rgb="FFD00000"/>
          <x14:colorHigh rgb="FFD00000"/>
          <x14:colorLow rgb="FFD00000"/>
          <x14:sparklines>
            <x14:sparkline>
              <xm:f>'U10m demersal trawl-seine'!D3:N3</xm:f>
              <xm:sqref>C3</xm:sqref>
            </x14:sparkline>
            <x14:sparkline>
              <xm:f>'U10m demersal trawl-seine'!D4:N4</xm:f>
              <xm:sqref>C4</xm:sqref>
            </x14:sparkline>
            <x14:sparkline>
              <xm:f>'U10m demersal trawl-seine'!D5:N5</xm:f>
              <xm:sqref>C5</xm:sqref>
            </x14:sparkline>
            <x14:sparkline>
              <xm:f>'U10m demersal trawl-seine'!D6:N6</xm:f>
              <xm:sqref>C6</xm:sqref>
            </x14:sparkline>
            <x14:sparkline>
              <xm:f>'U10m demersal trawl-seine'!D7:N7</xm:f>
              <xm:sqref>C7</xm:sqref>
            </x14:sparkline>
            <x14:sparkline>
              <xm:f>'U10m demersal trawl-seine'!D8:N8</xm:f>
              <xm:sqref>C8</xm:sqref>
            </x14:sparkline>
            <x14:sparkline>
              <xm:f>'U10m demersal trawl-seine'!D9:N9</xm:f>
              <xm:sqref>C9</xm:sqref>
            </x14:sparkline>
            <x14:sparkline>
              <xm:f>'U10m demersal trawl-seine'!D10:N10</xm:f>
              <xm:sqref>C10</xm:sqref>
            </x14:sparkline>
            <x14:sparkline>
              <xm:f>'U10m demersal trawl-seine'!D11:N11</xm:f>
              <xm:sqref>C11</xm:sqref>
            </x14:sparkline>
            <x14:sparkline>
              <xm:f>'U10m demersal trawl-seine'!D12:N12</xm:f>
              <xm:sqref>C12</xm:sqref>
            </x14:sparkline>
            <x14:sparkline>
              <xm:f>'U10m demersal trawl-seine'!D13:N13</xm:f>
              <xm:sqref>C13</xm:sqref>
            </x14:sparkline>
            <x14:sparkline>
              <xm:f>'U10m demersal trawl-seine'!D14:N14</xm:f>
              <xm:sqref>C14</xm:sqref>
            </x14:sparkline>
            <x14:sparkline>
              <xm:f>'U10m demersal trawl-seine'!D15:N15</xm:f>
              <xm:sqref>C15</xm:sqref>
            </x14:sparkline>
            <x14:sparkline>
              <xm:f>'U10m demersal trawl-seine'!D16:N16</xm:f>
              <xm:sqref>C16</xm:sqref>
            </x14:sparkline>
            <x14:sparkline>
              <xm:f>'U10m demersal trawl-seine'!D17:N17</xm:f>
              <xm:sqref>C17</xm:sqref>
            </x14:sparkline>
            <x14:sparkline>
              <xm:f>'U10m demersal trawl-seine'!D18:N18</xm:f>
              <xm:sqref>C18</xm:sqref>
            </x14:sparkline>
            <x14:sparkline>
              <xm:f>'U10m demersal trawl-seine'!D19:N19</xm:f>
              <xm:sqref>C19</xm:sqref>
            </x14:sparkline>
            <x14:sparkline>
              <xm:f>'U10m demersal trawl-seine'!D20:N20</xm:f>
              <xm:sqref>C20</xm:sqref>
            </x14:sparkline>
            <x14:sparkline>
              <xm:f>'U10m demersal trawl-seine'!D21:N21</xm:f>
              <xm:sqref>C21</xm:sqref>
            </x14:sparkline>
            <x14:sparkline>
              <xm:f>'U10m demersal trawl-seine'!D22:N22</xm:f>
              <xm:sqref>C22</xm:sqref>
            </x14:sparkline>
            <x14:sparkline>
              <xm:f>'U10m demersal trawl-seine'!D23:N23</xm:f>
              <xm:sqref>C23</xm:sqref>
            </x14:sparkline>
            <x14:sparkline>
              <xm:f>'U10m demersal trawl-seine'!D24:N24</xm:f>
              <xm:sqref>C24</xm:sqref>
            </x14:sparkline>
            <x14:sparkline>
              <xm:f>'U10m demersal trawl-seine'!D25:N25</xm:f>
              <xm:sqref>C25</xm:sqref>
            </x14:sparkline>
            <x14:sparkline>
              <xm:f>'U10m demersal trawl-seine'!D26:N26</xm:f>
              <xm:sqref>C26</xm:sqref>
            </x14:sparkline>
            <x14:sparkline>
              <xm:f>'U10m demersal trawl-seine'!D27:N27</xm:f>
              <xm:sqref>C27</xm:sqref>
            </x14:sparkline>
            <x14:sparkline>
              <xm:f>'U10m demersal trawl-seine'!D28:N28</xm:f>
              <xm:sqref>C28</xm:sqref>
            </x14:sparkline>
            <x14:sparkline>
              <xm:f>'U10m demersal trawl-seine'!D29:N29</xm:f>
              <xm:sqref>C29</xm:sqref>
            </x14:sparkline>
            <x14:sparkline>
              <xm:f>'U10m demersal trawl-seine'!D30:N30</xm:f>
              <xm:sqref>C30</xm:sqref>
            </x14:sparkline>
            <x14:sparkline>
              <xm:f>'U10m demersal trawl-seine'!D31:N31</xm:f>
              <xm:sqref>C31</xm:sqref>
            </x14:sparkline>
            <x14:sparkline>
              <xm:f>'U10m demersal trawl-seine'!D32:N32</xm:f>
              <xm:sqref>C32</xm:sqref>
            </x14:sparkline>
            <x14:sparkline>
              <xm:f>'U10m demersal trawl-seine'!D33:N33</xm:f>
              <xm:sqref>C33</xm:sqref>
            </x14:sparkline>
            <x14:sparkline>
              <xm:f>'U10m demersal trawl-seine'!D34:N34</xm:f>
              <xm:sqref>C34</xm:sqref>
            </x14:sparkline>
            <x14:sparkline>
              <xm:f>'U10m demersal trawl-seine'!D35:N35</xm:f>
              <xm:sqref>C35</xm:sqref>
            </x14:sparkline>
            <x14:sparkline>
              <xm:f>'U10m demersal trawl-seine'!D36:N36</xm:f>
              <xm:sqref>C36</xm:sqref>
            </x14:sparkline>
            <x14:sparkline>
              <xm:f>'U10m demersal trawl-seine'!D37:N37</xm:f>
              <xm:sqref>C37</xm:sqref>
            </x14:sparkline>
            <x14:sparkline>
              <xm:f>'U10m demersal trawl-seine'!D38:N38</xm:f>
              <xm:sqref>C38</xm:sqref>
            </x14:sparkline>
            <x14:sparkline>
              <xm:f>'U10m demersal trawl-seine'!D39:N39</xm:f>
              <xm:sqref>C39</xm:sqref>
            </x14:sparkline>
            <x14:sparkline>
              <xm:f>'U10m demersal trawl-seine'!D40:N40</xm:f>
              <xm:sqref>C40</xm:sqref>
            </x14:sparkline>
            <x14:sparkline>
              <xm:f>'U10m demersal trawl-seine'!D41:N41</xm:f>
              <xm:sqref>C41</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260EA-A37A-4F81-B0CA-43F07F1B1959}">
  <sheetPr codeName="Feuil34">
    <pageSetUpPr fitToPage="1"/>
  </sheetPr>
  <dimension ref="A1:S192"/>
  <sheetViews>
    <sheetView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36</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256</v>
      </c>
      <c r="E3" s="27">
        <v>287</v>
      </c>
      <c r="F3" s="27">
        <v>259</v>
      </c>
      <c r="G3" s="27">
        <v>251</v>
      </c>
      <c r="H3" s="27">
        <v>252</v>
      </c>
      <c r="I3" s="27">
        <v>224</v>
      </c>
      <c r="J3" s="27">
        <v>217</v>
      </c>
      <c r="K3" s="27">
        <v>187</v>
      </c>
      <c r="L3" s="27">
        <v>212</v>
      </c>
      <c r="M3" s="27">
        <v>203</v>
      </c>
      <c r="N3" s="27">
        <v>177</v>
      </c>
      <c r="O3" s="28">
        <f t="shared" ref="O3:O41" si="0">IF(N3=0,"",IFERROR(IF(AND(N3&gt;0,D3&lt;0),"na",IF(AND(N3&lt;0,D3&lt;0),-1,1)*(N3-D3)/D3),""))</f>
        <v>-0.30859375</v>
      </c>
      <c r="P3" s="28">
        <f t="shared" ref="P3:P41" si="1">IF(N3=0,"",IFERROR(IF(AND(N3&gt;0,J3&lt;0),"na",IF(AND(N3&lt;0,J3&lt;0),-1,1)*(N3-J3)/J3),""))</f>
        <v>-0.18433179723502305</v>
      </c>
      <c r="Q3" s="206"/>
    </row>
    <row r="4" spans="1:17" ht="18" customHeight="1">
      <c r="A4" s="172"/>
      <c r="B4" s="29" t="s">
        <v>184</v>
      </c>
      <c r="C4" s="30"/>
      <c r="D4" s="30">
        <v>21521</v>
      </c>
      <c r="E4" s="30">
        <v>22078</v>
      </c>
      <c r="F4" s="30">
        <v>21656</v>
      </c>
      <c r="G4" s="30">
        <v>20543</v>
      </c>
      <c r="H4" s="30">
        <v>20817</v>
      </c>
      <c r="I4" s="30">
        <v>18282</v>
      </c>
      <c r="J4" s="30">
        <v>17615</v>
      </c>
      <c r="K4" s="30">
        <v>15113</v>
      </c>
      <c r="L4" s="30">
        <v>15993</v>
      </c>
      <c r="M4" s="30">
        <v>14980</v>
      </c>
      <c r="N4" s="30">
        <v>14059</v>
      </c>
      <c r="O4" s="28">
        <f t="shared" si="0"/>
        <v>-0.34673109985595463</v>
      </c>
      <c r="P4" s="28">
        <f t="shared" si="1"/>
        <v>-0.20187340334941811</v>
      </c>
      <c r="Q4" s="206"/>
    </row>
    <row r="5" spans="1:17" ht="18" customHeight="1">
      <c r="A5" s="172"/>
      <c r="B5" s="29" t="s">
        <v>185</v>
      </c>
      <c r="C5" s="30"/>
      <c r="D5" s="30">
        <v>1310.469970703125</v>
      </c>
      <c r="E5" s="30">
        <v>1365</v>
      </c>
      <c r="F5" s="30">
        <v>1265.9100341796875</v>
      </c>
      <c r="G5" s="30">
        <v>1263.449951171875</v>
      </c>
      <c r="H5" s="30">
        <v>1268.489990234375</v>
      </c>
      <c r="I5" s="30">
        <v>2774.469970703125</v>
      </c>
      <c r="J5" s="30">
        <v>1047.469970703125</v>
      </c>
      <c r="K5" s="30">
        <v>950</v>
      </c>
      <c r="L5" s="30">
        <v>1037.469970703125</v>
      </c>
      <c r="M5" s="30">
        <v>962.469970703125</v>
      </c>
      <c r="N5" s="30">
        <v>864.469970703125</v>
      </c>
      <c r="O5" s="28">
        <f t="shared" si="0"/>
        <v>-0.34033591762556858</v>
      </c>
      <c r="P5" s="28">
        <f t="shared" si="1"/>
        <v>-0.17470667906322829</v>
      </c>
      <c r="Q5" s="207"/>
    </row>
    <row r="6" spans="1:17" ht="18" customHeight="1">
      <c r="A6" s="172"/>
      <c r="B6" s="29" t="s">
        <v>186</v>
      </c>
      <c r="C6" s="30"/>
      <c r="D6" s="30">
        <v>16563.611328125</v>
      </c>
      <c r="E6" s="30">
        <v>17122.962890625</v>
      </c>
      <c r="F6" s="30">
        <v>16412.98828125</v>
      </c>
      <c r="G6" s="30">
        <v>15711.87890625</v>
      </c>
      <c r="H6" s="30">
        <v>15992.083984375</v>
      </c>
      <c r="I6" s="30">
        <v>14298.708984375</v>
      </c>
      <c r="J6" s="30">
        <v>13732.666015625</v>
      </c>
      <c r="K6" s="30">
        <v>11982.81640625</v>
      </c>
      <c r="L6" s="30">
        <v>12864.1982421875</v>
      </c>
      <c r="M6" s="30">
        <v>12056.923828125</v>
      </c>
      <c r="N6" s="30">
        <v>10943.810546875</v>
      </c>
      <c r="O6" s="28">
        <f t="shared" si="0"/>
        <v>-0.339285960647216</v>
      </c>
      <c r="P6" s="28">
        <f t="shared" si="1"/>
        <v>-0.20308186812209994</v>
      </c>
      <c r="Q6" s="206"/>
    </row>
    <row r="7" spans="1:17" ht="18" customHeight="1">
      <c r="A7" s="172"/>
      <c r="B7" s="29" t="s">
        <v>187</v>
      </c>
      <c r="C7" s="30"/>
      <c r="D7" s="30">
        <v>5634.4541015625</v>
      </c>
      <c r="E7" s="30">
        <v>5502.28369140625</v>
      </c>
      <c r="F7" s="30">
        <v>4756.46533203125</v>
      </c>
      <c r="G7" s="30">
        <v>4676.35693359375</v>
      </c>
      <c r="H7" s="30">
        <v>4682.63720703125</v>
      </c>
      <c r="I7" s="30">
        <v>3621.487548828125</v>
      </c>
      <c r="J7" s="30">
        <v>4013.001953125</v>
      </c>
      <c r="K7" s="30">
        <v>3218.959228515625</v>
      </c>
      <c r="L7" s="30">
        <v>3435.536376953125</v>
      </c>
      <c r="M7" s="30">
        <v>2763.284423828125</v>
      </c>
      <c r="N7" s="30">
        <v>3274.14111328125</v>
      </c>
      <c r="O7" s="28">
        <f t="shared" si="0"/>
        <v>-0.41890712848769285</v>
      </c>
      <c r="P7" s="28">
        <f t="shared" si="1"/>
        <v>-0.18411674065306277</v>
      </c>
      <c r="Q7" s="206"/>
    </row>
    <row r="8" spans="1:17" ht="18" customHeight="1">
      <c r="A8" s="172"/>
      <c r="B8" s="29" t="s">
        <v>188</v>
      </c>
      <c r="C8" s="31"/>
      <c r="D8" s="31">
        <f ca="1">13.197071*OFFSET(D$112,MATCH($N$1,$C$112:$C$113,0)-1,0)</f>
        <v>13.197070999999999</v>
      </c>
      <c r="E8" s="31">
        <f ca="1">14.618235*OFFSET(E$112,MATCH($N$1,$C$112:$C$113,0)-1,0)</f>
        <v>14.618235</v>
      </c>
      <c r="F8" s="31">
        <f ca="1">12.588103*OFFSET(F$112,MATCH($N$1,$C$112:$C$113,0)-1,0)</f>
        <v>12.588103</v>
      </c>
      <c r="G8" s="31">
        <f ca="1">12.201903*OFFSET(G$112,MATCH($N$1,$C$112:$C$113,0)-1,0)</f>
        <v>12.201903</v>
      </c>
      <c r="H8" s="31">
        <f ca="1">13.255003*OFFSET(H$112,MATCH($N$1,$C$112:$C$113,0)-1,0)</f>
        <v>13.255003</v>
      </c>
      <c r="I8" s="31">
        <f ca="1">9.971834*OFFSET(I$112,MATCH($N$1,$C$112:$C$113,0)-1,0)</f>
        <v>9.9718339999999994</v>
      </c>
      <c r="J8" s="31">
        <f ca="1">10.333632*OFFSET(J$112,MATCH($N$1,$C$112:$C$113,0)-1,0)</f>
        <v>10.333632</v>
      </c>
      <c r="K8" s="31">
        <f ca="1">9.426104*OFFSET(K$112,MATCH($N$1,$C$112:$C$113,0)-1,0)</f>
        <v>9.4261040000000005</v>
      </c>
      <c r="L8" s="31">
        <f ca="1">10.600887*OFFSET(L$112,MATCH($N$1,$C$112:$C$113,0)-1,0)</f>
        <v>10.600887</v>
      </c>
      <c r="M8" s="31">
        <f ca="1">8.675991*OFFSET(M$112,MATCH($N$1,$C$112:$C$113,0)-1,0)</f>
        <v>8.6759909999999998</v>
      </c>
      <c r="N8" s="31">
        <v>7.2833714999999994</v>
      </c>
      <c r="O8" s="28">
        <f t="shared" ca="1" si="0"/>
        <v>-0.44810697009965317</v>
      </c>
      <c r="P8" s="28">
        <f t="shared" ca="1" si="1"/>
        <v>-0.29517796840452615</v>
      </c>
      <c r="Q8" s="206"/>
    </row>
    <row r="9" spans="1:17" ht="18" customHeight="1">
      <c r="A9" s="172"/>
      <c r="B9" s="29" t="s">
        <v>189</v>
      </c>
      <c r="C9" s="30"/>
      <c r="D9" s="30">
        <v>22968</v>
      </c>
      <c r="E9" s="30">
        <v>25303</v>
      </c>
      <c r="F9" s="30">
        <v>21949</v>
      </c>
      <c r="G9" s="30">
        <v>21404</v>
      </c>
      <c r="H9" s="30">
        <v>22392</v>
      </c>
      <c r="I9" s="30">
        <v>18087</v>
      </c>
      <c r="J9" s="30">
        <v>18201</v>
      </c>
      <c r="K9" s="30">
        <v>15652</v>
      </c>
      <c r="L9" s="30">
        <v>16570</v>
      </c>
      <c r="M9" s="30">
        <v>14145</v>
      </c>
      <c r="N9" s="30">
        <v>11258</v>
      </c>
      <c r="O9" s="28">
        <f t="shared" si="0"/>
        <v>-0.50983977708115635</v>
      </c>
      <c r="P9" s="28">
        <f t="shared" si="1"/>
        <v>-0.38146255700236253</v>
      </c>
      <c r="Q9" s="206"/>
    </row>
    <row r="10" spans="1:17" ht="18" customHeight="1">
      <c r="A10" s="172"/>
      <c r="B10" s="29" t="s">
        <v>190</v>
      </c>
      <c r="C10" s="30"/>
      <c r="D10" s="30">
        <v>219.64071655273438</v>
      </c>
      <c r="E10" s="30">
        <v>257.69522094726563</v>
      </c>
      <c r="F10" s="30">
        <v>185.56748962402344</v>
      </c>
      <c r="G10" s="30">
        <v>186.51004028320313</v>
      </c>
      <c r="H10" s="30">
        <v>176.59178161621094</v>
      </c>
      <c r="I10" s="30">
        <v>144.6456298828125</v>
      </c>
      <c r="J10" s="30">
        <v>157.17666625976563</v>
      </c>
      <c r="K10" s="30">
        <v>131.43077087402344</v>
      </c>
      <c r="L10" s="30">
        <v>114.11872100830078</v>
      </c>
      <c r="M10" s="30">
        <v>110.95500946044922</v>
      </c>
      <c r="N10" s="30">
        <v>87.849357604980469</v>
      </c>
      <c r="O10" s="32">
        <f t="shared" si="0"/>
        <v>-0.60003154704747841</v>
      </c>
      <c r="P10" s="32">
        <f t="shared" si="1"/>
        <v>-0.44107888470040474</v>
      </c>
      <c r="Q10" s="206"/>
    </row>
    <row r="11" spans="1:17" ht="18" customHeight="1">
      <c r="A11" s="173" t="s">
        <v>191</v>
      </c>
      <c r="B11" s="33" t="s">
        <v>192</v>
      </c>
      <c r="C11" s="34"/>
      <c r="D11" s="34">
        <v>8.013671875</v>
      </c>
      <c r="E11" s="34">
        <v>7.8420209884643555</v>
      </c>
      <c r="F11" s="34">
        <v>7.9910812377929688</v>
      </c>
      <c r="G11" s="34">
        <v>8.0271310806274414</v>
      </c>
      <c r="H11" s="34">
        <v>8.0582542419433594</v>
      </c>
      <c r="I11" s="34">
        <v>8.0529909133911133</v>
      </c>
      <c r="J11" s="34">
        <v>8.0171890258789063</v>
      </c>
      <c r="K11" s="34">
        <v>8.1470584869384766</v>
      </c>
      <c r="L11" s="34">
        <v>8.0342922210693359</v>
      </c>
      <c r="M11" s="34">
        <v>7.9976353645324707</v>
      </c>
      <c r="N11" s="34">
        <v>8.041356086730957</v>
      </c>
      <c r="O11" s="28">
        <f t="shared" si="0"/>
        <v>3.4546225703753351E-3</v>
      </c>
      <c r="P11" s="28">
        <f t="shared" si="1"/>
        <v>3.0144057691593971E-3</v>
      </c>
      <c r="Q11" s="206"/>
    </row>
    <row r="12" spans="1:17" ht="18" customHeight="1">
      <c r="A12" s="174"/>
      <c r="B12" s="35" t="s">
        <v>184</v>
      </c>
      <c r="C12" s="30"/>
      <c r="D12" s="30">
        <v>84.396080017089844</v>
      </c>
      <c r="E12" s="30">
        <v>77.19580078125</v>
      </c>
      <c r="F12" s="30">
        <v>83.93798828125</v>
      </c>
      <c r="G12" s="30">
        <v>81.844619750976563</v>
      </c>
      <c r="H12" s="30">
        <v>82.607139587402344</v>
      </c>
      <c r="I12" s="30">
        <v>81.616073608398438</v>
      </c>
      <c r="J12" s="30">
        <v>81.175117492675781</v>
      </c>
      <c r="K12" s="30">
        <v>80.818183898925781</v>
      </c>
      <c r="L12" s="30">
        <v>75.438682556152344</v>
      </c>
      <c r="M12" s="30">
        <v>73.793106079101563</v>
      </c>
      <c r="N12" s="30">
        <v>79.42938232421875</v>
      </c>
      <c r="O12" s="28">
        <f t="shared" si="0"/>
        <v>-5.8849862361680293E-2</v>
      </c>
      <c r="P12" s="28">
        <f t="shared" si="1"/>
        <v>-2.1505791705377506E-2</v>
      </c>
      <c r="Q12" s="206"/>
    </row>
    <row r="13" spans="1:17" ht="18" customHeight="1">
      <c r="A13" s="174"/>
      <c r="B13" s="35" t="s">
        <v>185</v>
      </c>
      <c r="C13" s="30"/>
      <c r="D13" s="30">
        <v>5.1390981674194336</v>
      </c>
      <c r="E13" s="30">
        <v>4.7727274894714355</v>
      </c>
      <c r="F13" s="30">
        <v>4.9066281318664551</v>
      </c>
      <c r="G13" s="30">
        <v>5.053800106048584</v>
      </c>
      <c r="H13" s="30">
        <v>5.0537447929382324</v>
      </c>
      <c r="I13" s="30">
        <v>12.441569328308105</v>
      </c>
      <c r="J13" s="30">
        <v>4.849398136138916</v>
      </c>
      <c r="K13" s="30">
        <v>5.0802140235900879</v>
      </c>
      <c r="L13" s="30">
        <v>4.8937263488769531</v>
      </c>
      <c r="M13" s="30">
        <v>4.7412314414978027</v>
      </c>
      <c r="N13" s="30">
        <v>4.8840112686157227</v>
      </c>
      <c r="O13" s="28">
        <f t="shared" si="0"/>
        <v>-4.9636510238488252E-2</v>
      </c>
      <c r="P13" s="28">
        <f t="shared" si="1"/>
        <v>7.1376140925326391E-3</v>
      </c>
      <c r="Q13" s="206"/>
    </row>
    <row r="14" spans="1:17" ht="18" customHeight="1">
      <c r="A14" s="174"/>
      <c r="B14" s="35" t="s">
        <v>186</v>
      </c>
      <c r="C14" s="30"/>
      <c r="D14" s="30">
        <v>64.955345153808594</v>
      </c>
      <c r="E14" s="30">
        <v>59.870494842529297</v>
      </c>
      <c r="F14" s="30">
        <v>63.616230010986328</v>
      </c>
      <c r="G14" s="30">
        <v>62.597126007080078</v>
      </c>
      <c r="H14" s="30">
        <v>63.460651397705078</v>
      </c>
      <c r="I14" s="30">
        <v>63.833522796630859</v>
      </c>
      <c r="J14" s="30">
        <v>63.284175872802734</v>
      </c>
      <c r="K14" s="30">
        <v>64.079231262207031</v>
      </c>
      <c r="L14" s="30">
        <v>60.680183410644531</v>
      </c>
      <c r="M14" s="30">
        <v>59.393714904785156</v>
      </c>
      <c r="N14" s="30">
        <v>61.829437255859375</v>
      </c>
      <c r="O14" s="28">
        <f t="shared" si="0"/>
        <v>-4.8123951778677204E-2</v>
      </c>
      <c r="P14" s="28">
        <f t="shared" si="1"/>
        <v>-2.2987399249178714E-2</v>
      </c>
      <c r="Q14" s="206"/>
    </row>
    <row r="15" spans="1:17" ht="18" customHeight="1">
      <c r="A15" s="174"/>
      <c r="B15" s="35" t="s">
        <v>187</v>
      </c>
      <c r="C15" s="31"/>
      <c r="D15" s="31">
        <v>22.009586334228516</v>
      </c>
      <c r="E15" s="31">
        <v>19.171720504760742</v>
      </c>
      <c r="F15" s="31">
        <v>18.364730834960938</v>
      </c>
      <c r="G15" s="31">
        <v>18.630903244018555</v>
      </c>
      <c r="H15" s="31">
        <v>18.581892013549805</v>
      </c>
      <c r="I15" s="31">
        <v>16.167354583740234</v>
      </c>
      <c r="J15" s="31">
        <v>18.493095397949219</v>
      </c>
      <c r="K15" s="31">
        <v>17.213685989379883</v>
      </c>
      <c r="L15" s="31">
        <v>16.205360412597656</v>
      </c>
      <c r="M15" s="31">
        <v>13.612238883972168</v>
      </c>
      <c r="N15" s="31">
        <v>18.49797248840332</v>
      </c>
      <c r="O15" s="28">
        <f t="shared" si="0"/>
        <v>-0.15954928877350411</v>
      </c>
      <c r="P15" s="28">
        <f t="shared" si="1"/>
        <v>2.6372493891111407E-4</v>
      </c>
      <c r="Q15" s="206"/>
    </row>
    <row r="16" spans="1:17" ht="18" customHeight="1">
      <c r="A16" s="174"/>
      <c r="B16" s="35" t="s">
        <v>193</v>
      </c>
      <c r="C16" s="31"/>
      <c r="D16" s="31">
        <f ca="1">51.55105859375*OFFSET(D$112,MATCH($N$1,$C$112:$C$113,0)-1,0)</f>
        <v>51.55105859375</v>
      </c>
      <c r="E16" s="31">
        <f ca="1">50.9346171875*OFFSET(E$112,MATCH($N$1,$C$112:$C$113,0)-1,0)</f>
        <v>50.934617187500002</v>
      </c>
      <c r="F16" s="31">
        <f ca="1">48.60271484375*OFFSET(F$112,MATCH($N$1,$C$112:$C$113,0)-1,0)</f>
        <v>48.60271484375</v>
      </c>
      <c r="G16" s="31">
        <f ca="1">48.61316015625*OFFSET(G$112,MATCH($N$1,$C$112:$C$113,0)-1,0)</f>
        <v>48.613160156249997</v>
      </c>
      <c r="H16" s="31">
        <f ca="1">52.59921875*OFFSET(H$112,MATCH($N$1,$C$112:$C$113,0)-1,0)</f>
        <v>52.599218749999999</v>
      </c>
      <c r="I16" s="31">
        <f ca="1">44.5171171875*OFFSET(I$112,MATCH($N$1,$C$112:$C$113,0)-1,0)</f>
        <v>44.517117187499998</v>
      </c>
      <c r="J16" s="31">
        <f ca="1">47.62042578125*OFFSET(J$112,MATCH($N$1,$C$112:$C$113,0)-1,0)</f>
        <v>47.620425781249999</v>
      </c>
      <c r="K16" s="31">
        <f ca="1">50.40697265625*OFFSET(K$112,MATCH($N$1,$C$112:$C$113,0)-1,0)</f>
        <v>50.406972656249998</v>
      </c>
      <c r="L16" s="31">
        <f ca="1">50.00418359375*OFFSET(L$112,MATCH($N$1,$C$112:$C$113,0)-1,0)</f>
        <v>50.00418359375</v>
      </c>
      <c r="M16" s="31">
        <f ca="1">42.73887109375*OFFSET(M$112,MATCH($N$1,$C$112:$C$113,0)-1,0)</f>
        <v>42.738871093749999</v>
      </c>
      <c r="N16" s="31">
        <v>41.148992187499999</v>
      </c>
      <c r="O16" s="28">
        <f t="shared" ca="1" si="0"/>
        <v>-0.20178181961739844</v>
      </c>
      <c r="P16" s="28">
        <f t="shared" ca="1" si="1"/>
        <v>-0.13589617244241553</v>
      </c>
      <c r="Q16" s="206"/>
    </row>
    <row r="17" spans="1:16" ht="18" customHeight="1">
      <c r="A17" s="174"/>
      <c r="B17" s="35" t="s">
        <v>189</v>
      </c>
      <c r="C17" s="30"/>
      <c r="D17" s="30">
        <v>89.71875</v>
      </c>
      <c r="E17" s="30">
        <v>88.163764953613281</v>
      </c>
      <c r="F17" s="30">
        <v>84.745170593261719</v>
      </c>
      <c r="G17" s="30">
        <v>85.27490234375</v>
      </c>
      <c r="H17" s="30">
        <v>88.857139587402344</v>
      </c>
      <c r="I17" s="30">
        <v>80.745536804199219</v>
      </c>
      <c r="J17" s="30">
        <v>83.875579833984375</v>
      </c>
      <c r="K17" s="30">
        <v>83.700531005859375</v>
      </c>
      <c r="L17" s="30">
        <v>78.160377502441406</v>
      </c>
      <c r="M17" s="30">
        <v>69.679801940917969</v>
      </c>
      <c r="N17" s="30">
        <v>63.604518890380859</v>
      </c>
      <c r="O17" s="28">
        <f t="shared" si="0"/>
        <v>-0.29106771003406912</v>
      </c>
      <c r="P17" s="28">
        <f t="shared" si="1"/>
        <v>-0.24168012887334064</v>
      </c>
    </row>
    <row r="18" spans="1:16" ht="18" customHeight="1">
      <c r="A18" s="174"/>
      <c r="B18" s="35" t="s">
        <v>194</v>
      </c>
      <c r="C18" s="30"/>
      <c r="D18" s="30">
        <v>18.81568717956543</v>
      </c>
      <c r="E18" s="30">
        <v>20.360139846801758</v>
      </c>
      <c r="F18" s="30">
        <v>20.825580596923828</v>
      </c>
      <c r="G18" s="30">
        <v>21.470119476318359</v>
      </c>
      <c r="H18" s="30">
        <v>22.023809432983398</v>
      </c>
      <c r="I18" s="30">
        <v>22.325893402099609</v>
      </c>
      <c r="J18" s="30">
        <v>22.322580337524414</v>
      </c>
      <c r="K18" s="30">
        <v>22.705883026123047</v>
      </c>
      <c r="L18" s="30">
        <v>24.622640609741211</v>
      </c>
      <c r="M18" s="30">
        <v>25.719211578369141</v>
      </c>
      <c r="N18" s="30">
        <v>25.395481109619141</v>
      </c>
      <c r="O18" s="28">
        <f t="shared" si="0"/>
        <v>0.3496972429048259</v>
      </c>
      <c r="P18" s="28">
        <f t="shared" si="1"/>
        <v>0.13765885151409485</v>
      </c>
    </row>
    <row r="19" spans="1:16" ht="18" customHeight="1">
      <c r="A19" s="174"/>
      <c r="B19" s="35" t="s">
        <v>195</v>
      </c>
      <c r="C19" s="36"/>
      <c r="D19" s="36">
        <v>0.24531757831573486</v>
      </c>
      <c r="E19" s="36">
        <v>0.21745578944683075</v>
      </c>
      <c r="F19" s="36">
        <v>0.21670533716678619</v>
      </c>
      <c r="G19" s="36">
        <v>0.21848049759864807</v>
      </c>
      <c r="H19" s="36">
        <v>0.209120973944664</v>
      </c>
      <c r="I19" s="36">
        <v>0.20022597908973694</v>
      </c>
      <c r="J19" s="36">
        <v>0.2204824686050415</v>
      </c>
      <c r="K19" s="36">
        <v>0.20565803349018097</v>
      </c>
      <c r="L19" s="36">
        <v>0.2073347270488739</v>
      </c>
      <c r="M19" s="36">
        <v>0.1953541487455368</v>
      </c>
      <c r="N19" s="36">
        <v>0.29082795977592468</v>
      </c>
      <c r="O19" s="28">
        <f t="shared" si="0"/>
        <v>0.18551618588707855</v>
      </c>
      <c r="P19" s="28">
        <f t="shared" si="1"/>
        <v>0.31905253789994381</v>
      </c>
    </row>
    <row r="20" spans="1:16" ht="18" customHeight="1">
      <c r="A20" s="175"/>
      <c r="B20" s="37" t="s">
        <v>196</v>
      </c>
      <c r="C20" s="38"/>
      <c r="D20" s="38">
        <f ca="1">2342*OFFSET(D$112,MATCH($N$1,$C$112:$C$113,0)-1,0)</f>
        <v>2342</v>
      </c>
      <c r="E20" s="38">
        <f ca="1">2657*OFFSET(E$112,MATCH($N$1,$C$112:$C$113,0)-1,0)</f>
        <v>2657</v>
      </c>
      <c r="F20" s="38">
        <f ca="1">2647*OFFSET(F$112,MATCH($N$1,$C$112:$C$113,0)-1,0)</f>
        <v>2647</v>
      </c>
      <c r="G20" s="38">
        <f ca="1">2609*OFFSET(G$112,MATCH($N$1,$C$112:$C$113,0)-1,0)</f>
        <v>2609</v>
      </c>
      <c r="H20" s="38">
        <f ca="1">2831*OFFSET(H$112,MATCH($N$1,$C$112:$C$113,0)-1,0)</f>
        <v>2831</v>
      </c>
      <c r="I20" s="38">
        <f ca="1">2754*OFFSET(I$112,MATCH($N$1,$C$112:$C$113,0)-1,0)</f>
        <v>2754</v>
      </c>
      <c r="J20" s="38">
        <f ca="1">2575*OFFSET(J$112,MATCH($N$1,$C$112:$C$113,0)-1,0)</f>
        <v>2575</v>
      </c>
      <c r="K20" s="38">
        <f ca="1">2928*OFFSET(K$112,MATCH($N$1,$C$112:$C$113,0)-1,0)</f>
        <v>2928</v>
      </c>
      <c r="L20" s="38">
        <f ca="1">3086*OFFSET(L$112,MATCH($N$1,$C$112:$C$113,0)-1,0)</f>
        <v>3086</v>
      </c>
      <c r="M20" s="38">
        <f ca="1">3140*OFFSET(M$112,MATCH($N$1,$C$112:$C$113,0)-1,0)</f>
        <v>3140</v>
      </c>
      <c r="N20" s="38">
        <v>2225</v>
      </c>
      <c r="O20" s="32">
        <f t="shared" ca="1" si="0"/>
        <v>-4.9957301451750639E-2</v>
      </c>
      <c r="P20" s="32">
        <f t="shared" ca="1" si="1"/>
        <v>-0.13592233009708737</v>
      </c>
    </row>
    <row r="21" spans="1:16" ht="18" customHeight="1">
      <c r="A21" s="176" t="s">
        <v>197</v>
      </c>
      <c r="B21" s="33" t="s">
        <v>198</v>
      </c>
      <c r="C21" s="39"/>
      <c r="D21" s="39">
        <v>2.7475684627151202</v>
      </c>
      <c r="E21" s="39">
        <v>2.5747653644675843</v>
      </c>
      <c r="F21" s="39">
        <v>2.4833358819718883</v>
      </c>
      <c r="G21" s="39">
        <v>2.6762825742437659</v>
      </c>
      <c r="H21" s="39">
        <v>2.5586458683301396</v>
      </c>
      <c r="I21" s="39">
        <v>2.3211940517843908</v>
      </c>
      <c r="J21" s="39">
        <v>2.600185638249632</v>
      </c>
      <c r="K21" s="39">
        <v>2.5262490679817096</v>
      </c>
      <c r="L21" s="39">
        <v>2.5685849396770735</v>
      </c>
      <c r="M21" s="39">
        <v>2.6046606473072682</v>
      </c>
      <c r="N21" s="39">
        <v>3.7208516797231921</v>
      </c>
      <c r="O21" s="28">
        <f t="shared" si="0"/>
        <v>0.35423438222401304</v>
      </c>
      <c r="P21" s="28">
        <f t="shared" si="1"/>
        <v>0.43099462784047959</v>
      </c>
    </row>
    <row r="22" spans="1:16" ht="18" customHeight="1">
      <c r="A22" s="176"/>
      <c r="B22" s="35" t="s">
        <v>199</v>
      </c>
      <c r="C22" s="36"/>
      <c r="D22" s="36">
        <f ca="1">6.43538050469823*OFFSET(D$112,MATCH($N$1,$C$112:$C$113,0)-1,0)</f>
        <v>6.4353805046982302</v>
      </c>
      <c r="E22" s="36">
        <f ca="1">6.84052785738371*OFFSET(E$112,MATCH($N$1,$C$112:$C$113,0)-1,0)</f>
        <v>6.8405278573837096</v>
      </c>
      <c r="F22" s="36">
        <f ca="1">6.5722098960994*OFFSET(F$112,MATCH($N$1,$C$112:$C$113,0)-1,0)</f>
        <v>6.5722098960994</v>
      </c>
      <c r="G22" s="36">
        <f ca="1">6.98315866391838*OFFSET(G$112,MATCH($N$1,$C$112:$C$113,0)-1,0)</f>
        <v>6.9831586639183802</v>
      </c>
      <c r="H22" s="36">
        <f ca="1">7.24268409449069*OFFSET(H$112,MATCH($N$1,$C$112:$C$113,0)-1,0)</f>
        <v>7.2426840944906896</v>
      </c>
      <c r="I22" s="36">
        <f ca="1">6.39145180387997*OFFSET(I$112,MATCH($N$1,$C$112:$C$113,0)-1,0)</f>
        <v>6.3914518038799697</v>
      </c>
      <c r="J22" s="36">
        <f ca="1">6.69557716213749*OFFSET(J$112,MATCH($N$1,$C$112:$C$113,0)-1,0)</f>
        <v>6.6955771621374902</v>
      </c>
      <c r="K22" s="36">
        <f ca="1">7.39763510100015*OFFSET(K$112,MATCH($N$1,$C$112:$C$113,0)-1,0)</f>
        <v>7.3976351010001498</v>
      </c>
      <c r="L22" s="36">
        <f ca="1">7.92577206736528*OFFSET(L$112,MATCH($N$1,$C$112:$C$113,0)-1,0)</f>
        <v>7.9257720673652798</v>
      </c>
      <c r="M22" s="36">
        <f ca="1">8.17795342831543*OFFSET(M$112,MATCH($N$1,$C$112:$C$113,0)-1,0)</f>
        <v>8.1779534283154298</v>
      </c>
      <c r="N22" s="36">
        <v>8.2770853289874111</v>
      </c>
      <c r="O22" s="28">
        <f t="shared" ca="1" si="0"/>
        <v>0.28618429367845788</v>
      </c>
      <c r="P22" s="28">
        <f t="shared" ca="1" si="1"/>
        <v>0.23620191785603165</v>
      </c>
    </row>
    <row r="23" spans="1:16" ht="18" customHeight="1">
      <c r="A23" s="176"/>
      <c r="B23" s="35" t="s">
        <v>154</v>
      </c>
      <c r="C23" s="36"/>
      <c r="D23" s="36">
        <f ca="1">4.89048924927974*OFFSET(D$112,MATCH($N$1,$C$112:$C$113,0)-1,0)</f>
        <v>4.8904892492797396</v>
      </c>
      <c r="E23" s="36">
        <f ca="1">5.13661829281136*OFFSET(E$112,MATCH($N$1,$C$112:$C$113,0)-1,0)</f>
        <v>5.1366182928113604</v>
      </c>
      <c r="F23" s="36">
        <f ca="1">4.62590347090897*OFFSET(F$112,MATCH($N$1,$C$112:$C$113,0)-1,0)</f>
        <v>4.6259034709089697</v>
      </c>
      <c r="G23" s="36">
        <f ca="1">4.90987993334981*OFFSET(G$112,MATCH($N$1,$C$112:$C$113,0)-1,0)</f>
        <v>4.90987993334981</v>
      </c>
      <c r="H23" s="36">
        <f ca="1">5.08631282288808*OFFSET(H$112,MATCH($N$1,$C$112:$C$113,0)-1,0)</f>
        <v>5.0863128228880798</v>
      </c>
      <c r="I23" s="36">
        <f ca="1">4.81211780198857*OFFSET(I$112,MATCH($N$1,$C$112:$C$113,0)-1,0)</f>
        <v>4.8121178019885704</v>
      </c>
      <c r="J23" s="36">
        <f ca="1">4.72880818352323*OFFSET(J$112,MATCH($N$1,$C$112:$C$113,0)-1,0)</f>
        <v>4.7288081835232303</v>
      </c>
      <c r="K23" s="36">
        <f ca="1">4.91455817048169*OFFSET(K$112,MATCH($N$1,$C$112:$C$113,0)-1,0)</f>
        <v>4.9145581704816896</v>
      </c>
      <c r="L23" s="36">
        <f ca="1">5.58066616582339*OFFSET(L$112,MATCH($N$1,$C$112:$C$113,0)-1,0)</f>
        <v>5.5806661658233896</v>
      </c>
      <c r="M23" s="36">
        <f ca="1">5.3673600191347*OFFSET(M$112,MATCH($N$1,$C$112:$C$113,0)-1,0)</f>
        <v>5.3673600191346997</v>
      </c>
      <c r="N23" s="36">
        <v>5.9949171531618273</v>
      </c>
      <c r="O23" s="28">
        <f t="shared" ca="1" si="0"/>
        <v>0.22583178238143461</v>
      </c>
      <c r="P23" s="28">
        <f t="shared" ca="1" si="1"/>
        <v>0.26774377824208423</v>
      </c>
    </row>
    <row r="24" spans="1:16" ht="18" customHeight="1">
      <c r="A24" s="176"/>
      <c r="B24" s="35" t="s">
        <v>155</v>
      </c>
      <c r="C24" s="36"/>
      <c r="D24" s="36">
        <f ca="1">1.93223430105918*OFFSET(D$112,MATCH($N$1,$C$112:$C$113,0)-1,0)</f>
        <v>1.93223430105918</v>
      </c>
      <c r="E24" s="36">
        <f ca="1">2.37757260570269*OFFSET(E$112,MATCH($N$1,$C$112:$C$113,0)-1,0)</f>
        <v>2.37757260570269</v>
      </c>
      <c r="F24" s="36">
        <f ca="1">2.36933694658971*OFFSET(F$112,MATCH($N$1,$C$112:$C$113,0)-1,0)</f>
        <v>2.3693369465897098</v>
      </c>
      <c r="G24" s="36">
        <f ca="1">2.13854548354531*OFFSET(G$112,MATCH($N$1,$C$112:$C$113,0)-1,0)</f>
        <v>2.1385454835453102</v>
      </c>
      <c r="H24" s="36">
        <f ca="1">2.67667210300066*OFFSET(H$112,MATCH($N$1,$C$112:$C$113,0)-1,0)</f>
        <v>2.6766721030006599</v>
      </c>
      <c r="I24" s="36">
        <f ca="1">1.66232143645812*OFFSET(I$112,MATCH($N$1,$C$112:$C$113,0)-1,0)</f>
        <v>1.66232143645812</v>
      </c>
      <c r="J24" s="36">
        <f ca="1">2.06044722892188*OFFSET(J$112,MATCH($N$1,$C$112:$C$113,0)-1,0)</f>
        <v>2.06044722892188</v>
      </c>
      <c r="K24" s="36">
        <f ca="1">2.75248933531017*OFFSET(K$112,MATCH($N$1,$C$112:$C$113,0)-1,0)</f>
        <v>2.75248933531017</v>
      </c>
      <c r="L24" s="36">
        <f ca="1">2.35605749976124*OFFSET(L$112,MATCH($N$1,$C$112:$C$113,0)-1,0)</f>
        <v>2.3560574997612398</v>
      </c>
      <c r="M24" s="36">
        <f ca="1">3.0521725075142*OFFSET(M$112,MATCH($N$1,$C$112:$C$113,0)-1,0)</f>
        <v>3.0521725075142001</v>
      </c>
      <c r="N24" s="36">
        <v>3.291608436046598</v>
      </c>
      <c r="O24" s="28">
        <f t="shared" ca="1" si="0"/>
        <v>0.70352448160259806</v>
      </c>
      <c r="P24" s="28">
        <f t="shared" ca="1" si="1"/>
        <v>0.59752134868744866</v>
      </c>
    </row>
    <row r="25" spans="1:16" ht="18" customHeight="1">
      <c r="A25" s="176"/>
      <c r="B25" s="35" t="s">
        <v>200</v>
      </c>
      <c r="C25" s="31"/>
      <c r="D25" s="31">
        <f ca="1">60.14*OFFSET(D$112,MATCH($N$1,$C$112:$C$113,0)-1,0)</f>
        <v>60.14</v>
      </c>
      <c r="E25" s="31">
        <f ca="1">56.69*OFFSET(E$112,MATCH($N$1,$C$112:$C$113,0)-1,0)</f>
        <v>56.69</v>
      </c>
      <c r="F25" s="31">
        <f ca="1">67.83*OFFSET(F$112,MATCH($N$1,$C$112:$C$113,0)-1,0)</f>
        <v>67.83</v>
      </c>
      <c r="G25" s="31">
        <f ca="1">65.4*OFFSET(G$112,MATCH($N$1,$C$112:$C$113,0)-1,0)</f>
        <v>65.400000000000006</v>
      </c>
      <c r="H25" s="31">
        <f ca="1">75.06*OFFSET(H$112,MATCH($N$1,$C$112:$C$113,0)-1,0)</f>
        <v>75.06</v>
      </c>
      <c r="I25" s="31">
        <f ca="1">68.91*OFFSET(I$112,MATCH($N$1,$C$112:$C$113,0)-1,0)</f>
        <v>68.91</v>
      </c>
      <c r="J25" s="31">
        <f ca="1">65.72*OFFSET(J$112,MATCH($N$1,$C$112:$C$113,0)-1,0)</f>
        <v>65.72</v>
      </c>
      <c r="K25" s="31">
        <f ca="1">71.71*OFFSET(K$112,MATCH($N$1,$C$112:$C$113,0)-1,0)</f>
        <v>71.709999999999994</v>
      </c>
      <c r="L25" s="31">
        <f ca="1">92.89*OFFSET(L$112,MATCH($N$1,$C$112:$C$113,0)-1,0)</f>
        <v>92.89</v>
      </c>
      <c r="M25" s="31">
        <f ca="1">78.12*OFFSET(M$112,MATCH($N$1,$C$112:$C$113,0)-1,0)</f>
        <v>78.12</v>
      </c>
      <c r="N25" s="31">
        <v>82.81</v>
      </c>
      <c r="O25" s="28">
        <f t="shared" ca="1" si="0"/>
        <v>0.37695377452610579</v>
      </c>
      <c r="P25" s="28">
        <f t="shared" ca="1" si="1"/>
        <v>0.2600426049908704</v>
      </c>
    </row>
    <row r="26" spans="1:16" ht="18" customHeight="1">
      <c r="A26" s="177"/>
      <c r="B26" s="35" t="s">
        <v>201</v>
      </c>
      <c r="C26" s="31"/>
      <c r="D26" s="31">
        <f ca="1">18.07*OFFSET(D$112,MATCH($N$1,$C$112:$C$113,0)-1,0)</f>
        <v>18.07</v>
      </c>
      <c r="E26" s="31">
        <f ca="1">19.71*OFFSET(E$112,MATCH($N$1,$C$112:$C$113,0)-1,0)</f>
        <v>19.71</v>
      </c>
      <c r="F26" s="31">
        <f ca="1">24.43*OFFSET(F$112,MATCH($N$1,$C$112:$C$113,0)-1,0)</f>
        <v>24.43</v>
      </c>
      <c r="G26" s="31">
        <f ca="1">20.05*OFFSET(G$112,MATCH($N$1,$C$112:$C$113,0)-1,0)</f>
        <v>20.05</v>
      </c>
      <c r="H26" s="31">
        <f ca="1">27.68*OFFSET(H$112,MATCH($N$1,$C$112:$C$113,0)-1,0)</f>
        <v>27.68</v>
      </c>
      <c r="I26" s="31">
        <f ca="1">17.96*OFFSET(I$112,MATCH($N$1,$C$112:$C$113,0)-1,0)</f>
        <v>17.96</v>
      </c>
      <c r="J26" s="31">
        <f ca="1">20.29*OFFSET(J$112,MATCH($N$1,$C$112:$C$113,0)-1,0)</f>
        <v>20.29</v>
      </c>
      <c r="K26" s="31">
        <f ca="1">26.75*OFFSET(K$112,MATCH($N$1,$C$112:$C$113,0)-1,0)</f>
        <v>26.75</v>
      </c>
      <c r="L26" s="31">
        <f ca="1">27.68*OFFSET(L$112,MATCH($N$1,$C$112:$C$113,0)-1,0)</f>
        <v>27.68</v>
      </c>
      <c r="M26" s="31">
        <f ca="1">29.27*OFFSET(M$112,MATCH($N$1,$C$112:$C$113,0)-1,0)</f>
        <v>29.27</v>
      </c>
      <c r="N26" s="31">
        <v>33.04</v>
      </c>
      <c r="O26" s="32">
        <f t="shared" ca="1" si="0"/>
        <v>0.82844493635860539</v>
      </c>
      <c r="P26" s="32">
        <f t="shared" ca="1" si="1"/>
        <v>0.62838836865450964</v>
      </c>
    </row>
    <row r="27" spans="1:16" ht="18" customHeight="1">
      <c r="A27" s="166" t="s">
        <v>202</v>
      </c>
      <c r="B27" s="33" t="s">
        <v>193</v>
      </c>
      <c r="C27" s="34"/>
      <c r="D27" s="34">
        <f ca="1">51.6*OFFSET(D$112,MATCH($N$1,$C$112:$C$113,0)-1,0)</f>
        <v>51.6</v>
      </c>
      <c r="E27" s="34">
        <f ca="1">50.9*OFFSET(E$112,MATCH($N$1,$C$112:$C$113,0)-1,0)</f>
        <v>50.9</v>
      </c>
      <c r="F27" s="34">
        <f ca="1">48.6*OFFSET(F$112,MATCH($N$1,$C$112:$C$113,0)-1,0)</f>
        <v>48.6</v>
      </c>
      <c r="G27" s="34">
        <f ca="1">48.6*OFFSET(G$112,MATCH($N$1,$C$112:$C$113,0)-1,0)</f>
        <v>48.6</v>
      </c>
      <c r="H27" s="34">
        <f ca="1">52.6*OFFSET(H$112,MATCH($N$1,$C$112:$C$113,0)-1,0)</f>
        <v>52.6</v>
      </c>
      <c r="I27" s="34">
        <f ca="1">44.5*OFFSET(I$112,MATCH($N$1,$C$112:$C$113,0)-1,0)</f>
        <v>44.5</v>
      </c>
      <c r="J27" s="34">
        <f ca="1">47.6*OFFSET(J$112,MATCH($N$1,$C$112:$C$113,0)-1,0)</f>
        <v>47.6</v>
      </c>
      <c r="K27" s="34">
        <f ca="1">50.4*OFFSET(K$112,MATCH($N$1,$C$112:$C$113,0)-1,0)</f>
        <v>50.4</v>
      </c>
      <c r="L27" s="34">
        <f ca="1">50*OFFSET(L$112,MATCH($N$1,$C$112:$C$113,0)-1,0)</f>
        <v>50</v>
      </c>
      <c r="M27" s="34">
        <f ca="1">42.7*OFFSET(M$112,MATCH($N$1,$C$112:$C$113,0)-1,0)</f>
        <v>42.7</v>
      </c>
      <c r="N27" s="34">
        <v>41.1</v>
      </c>
      <c r="O27" s="28">
        <f t="shared" ca="1" si="0"/>
        <v>-0.20348837209302326</v>
      </c>
      <c r="P27" s="28">
        <f t="shared" ca="1" si="1"/>
        <v>-0.13655462184873948</v>
      </c>
    </row>
    <row r="28" spans="1:16" ht="18" customHeight="1">
      <c r="A28" s="178"/>
      <c r="B28" s="35" t="s">
        <v>203</v>
      </c>
      <c r="C28" s="31"/>
      <c r="D28" s="31">
        <f ca="1">3.1*OFFSET(D$112,MATCH($N$1,$C$112:$C$113,0)-1,0)</f>
        <v>3.1</v>
      </c>
      <c r="E28" s="31">
        <f ca="1">5*OFFSET(E$112,MATCH($N$1,$C$112:$C$113,0)-1,0)</f>
        <v>5</v>
      </c>
      <c r="F28" s="31">
        <f ca="1">3.1*OFFSET(F$112,MATCH($N$1,$C$112:$C$113,0)-1,0)</f>
        <v>3.1</v>
      </c>
      <c r="G28" s="31">
        <f ca="1">0.5*OFFSET(G$112,MATCH($N$1,$C$112:$C$113,0)-1,0)</f>
        <v>0.5</v>
      </c>
      <c r="H28" s="31">
        <f ca="1">3.8*OFFSET(H$112,MATCH($N$1,$C$112:$C$113,0)-1,0)</f>
        <v>3.8</v>
      </c>
      <c r="I28" s="31">
        <f ca="1">0.6*OFFSET(I$112,MATCH($N$1,$C$112:$C$113,0)-1,0)</f>
        <v>0.6</v>
      </c>
      <c r="J28" s="31">
        <f ca="1">0.7*OFFSET(J$112,MATCH($N$1,$C$112:$C$113,0)-1,0)</f>
        <v>0.7</v>
      </c>
      <c r="K28" s="31">
        <f ca="1">1.8*OFFSET(K$112,MATCH($N$1,$C$112:$C$113,0)-1,0)</f>
        <v>1.8</v>
      </c>
      <c r="L28" s="31">
        <f ca="1">0.1*OFFSET(L$112,MATCH($N$1,$C$112:$C$113,0)-1,0)</f>
        <v>0.1</v>
      </c>
      <c r="M28" s="31">
        <f ca="1">1.3*OFFSET(M$112,MATCH($N$1,$C$112:$C$113,0)-1,0)</f>
        <v>1.3</v>
      </c>
      <c r="N28" s="31">
        <v>5</v>
      </c>
      <c r="O28" s="28">
        <f t="shared" ca="1" si="0"/>
        <v>0.61290322580645151</v>
      </c>
      <c r="P28" s="28">
        <f t="shared" ca="1" si="1"/>
        <v>6.1428571428571432</v>
      </c>
    </row>
    <row r="29" spans="1:16" ht="18" customHeight="1">
      <c r="A29" s="178"/>
      <c r="B29" s="40" t="s">
        <v>204</v>
      </c>
      <c r="C29" s="41"/>
      <c r="D29" s="41">
        <f ca="1">54.7*OFFSET(D$112,MATCH($N$1,$C$112:$C$113,0)-1,0)</f>
        <v>54.7</v>
      </c>
      <c r="E29" s="41">
        <f ca="1">56*OFFSET(E$112,MATCH($N$1,$C$112:$C$113,0)-1,0)</f>
        <v>56</v>
      </c>
      <c r="F29" s="41">
        <f ca="1">51.7*OFFSET(F$112,MATCH($N$1,$C$112:$C$113,0)-1,0)</f>
        <v>51.7</v>
      </c>
      <c r="G29" s="41">
        <f ca="1">49.1*OFFSET(G$112,MATCH($N$1,$C$112:$C$113,0)-1,0)</f>
        <v>49.1</v>
      </c>
      <c r="H29" s="41">
        <f ca="1">56.4*OFFSET(H$112,MATCH($N$1,$C$112:$C$113,0)-1,0)</f>
        <v>56.4</v>
      </c>
      <c r="I29" s="41">
        <f ca="1">45.1*OFFSET(I$112,MATCH($N$1,$C$112:$C$113,0)-1,0)</f>
        <v>45.1</v>
      </c>
      <c r="J29" s="41">
        <f ca="1">48.3*OFFSET(J$112,MATCH($N$1,$C$112:$C$113,0)-1,0)</f>
        <v>48.3</v>
      </c>
      <c r="K29" s="41">
        <f ca="1">52.2*OFFSET(K$112,MATCH($N$1,$C$112:$C$113,0)-1,0)</f>
        <v>52.2</v>
      </c>
      <c r="L29" s="41">
        <f ca="1">50.1*OFFSET(L$112,MATCH($N$1,$C$112:$C$113,0)-1,0)</f>
        <v>50.1</v>
      </c>
      <c r="M29" s="41">
        <f ca="1">44*OFFSET(M$112,MATCH($N$1,$C$112:$C$113,0)-1,0)</f>
        <v>44</v>
      </c>
      <c r="N29" s="41">
        <v>46.2</v>
      </c>
      <c r="O29" s="28">
        <f t="shared" ca="1" si="0"/>
        <v>-0.15539305301645337</v>
      </c>
      <c r="P29" s="28">
        <f t="shared" ca="1" si="1"/>
        <v>-4.3478260869565105E-2</v>
      </c>
    </row>
    <row r="30" spans="1:16" ht="18" customHeight="1">
      <c r="A30" s="178"/>
      <c r="B30" s="35" t="s">
        <v>205</v>
      </c>
      <c r="C30" s="31"/>
      <c r="D30" s="31">
        <f ca="1">5.1*OFFSET(D$112,MATCH($N$1,$C$112:$C$113,0)-1,0)</f>
        <v>5.0999999999999996</v>
      </c>
      <c r="E30" s="31">
        <f ca="1">6.2*OFFSET(E$112,MATCH($N$1,$C$112:$C$113,0)-1,0)</f>
        <v>6.2</v>
      </c>
      <c r="F30" s="31">
        <f ca="1">6.1*OFFSET(F$112,MATCH($N$1,$C$112:$C$113,0)-1,0)</f>
        <v>6.1</v>
      </c>
      <c r="G30" s="31">
        <f ca="1">5.5*OFFSET(G$112,MATCH($N$1,$C$112:$C$113,0)-1,0)</f>
        <v>5.5</v>
      </c>
      <c r="H30" s="31">
        <f ca="1">5.2*OFFSET(H$112,MATCH($N$1,$C$112:$C$113,0)-1,0)</f>
        <v>5.2</v>
      </c>
      <c r="I30" s="31">
        <f ca="1">3.5*OFFSET(I$112,MATCH($N$1,$C$112:$C$113,0)-1,0)</f>
        <v>3.5</v>
      </c>
      <c r="J30" s="31">
        <f ca="1">3.4*OFFSET(J$112,MATCH($N$1,$C$112:$C$113,0)-1,0)</f>
        <v>3.4</v>
      </c>
      <c r="K30" s="31">
        <f ca="1">4*OFFSET(K$112,MATCH($N$1,$C$112:$C$113,0)-1,0)</f>
        <v>4</v>
      </c>
      <c r="L30" s="31">
        <f ca="1">4.3*OFFSET(L$112,MATCH($N$1,$C$112:$C$113,0)-1,0)</f>
        <v>4.3</v>
      </c>
      <c r="M30" s="31">
        <f ca="1">3.5*OFFSET(M$112,MATCH($N$1,$C$112:$C$113,0)-1,0)</f>
        <v>3.5</v>
      </c>
      <c r="N30" s="31">
        <v>2.4</v>
      </c>
      <c r="O30" s="28">
        <f t="shared" ca="1" si="0"/>
        <v>-0.52941176470588236</v>
      </c>
      <c r="P30" s="28">
        <f t="shared" ca="1" si="1"/>
        <v>-0.29411764705882354</v>
      </c>
    </row>
    <row r="31" spans="1:16" ht="18" customHeight="1">
      <c r="A31" s="178"/>
      <c r="B31" s="35" t="s">
        <v>206</v>
      </c>
      <c r="C31" s="31"/>
      <c r="D31" s="31">
        <f ca="1">17*OFFSET(D$112,MATCH($N$1,$C$112:$C$113,0)-1,0)</f>
        <v>17</v>
      </c>
      <c r="E31" s="31">
        <f ca="1">14.6*OFFSET(E$112,MATCH($N$1,$C$112:$C$113,0)-1,0)</f>
        <v>14.6</v>
      </c>
      <c r="F31" s="31">
        <f ca="1">11*OFFSET(F$112,MATCH($N$1,$C$112:$C$113,0)-1,0)</f>
        <v>11</v>
      </c>
      <c r="G31" s="31">
        <f ca="1">7.9*OFFSET(G$112,MATCH($N$1,$C$112:$C$113,0)-1,0)</f>
        <v>7.9</v>
      </c>
      <c r="H31" s="31">
        <f ca="1">13.2*OFFSET(H$112,MATCH($N$1,$C$112:$C$113,0)-1,0)</f>
        <v>13.2</v>
      </c>
      <c r="I31" s="31">
        <f ca="1">12.6*OFFSET(I$112,MATCH($N$1,$C$112:$C$113,0)-1,0)</f>
        <v>12.6</v>
      </c>
      <c r="J31" s="31">
        <f ca="1">15.6*OFFSET(J$112,MATCH($N$1,$C$112:$C$113,0)-1,0)</f>
        <v>15.6</v>
      </c>
      <c r="K31" s="31">
        <f ca="1">16*OFFSET(K$112,MATCH($N$1,$C$112:$C$113,0)-1,0)</f>
        <v>16</v>
      </c>
      <c r="L31" s="31">
        <f ca="1">16.3*OFFSET(L$112,MATCH($N$1,$C$112:$C$113,0)-1,0)</f>
        <v>16.3</v>
      </c>
      <c r="M31" s="31">
        <f ca="1">12.4*OFFSET(M$112,MATCH($N$1,$C$112:$C$113,0)-1,0)</f>
        <v>12.4</v>
      </c>
      <c r="N31" s="31">
        <v>12.4</v>
      </c>
      <c r="O31" s="28">
        <f t="shared" ca="1" si="0"/>
        <v>-0.27058823529411763</v>
      </c>
      <c r="P31" s="28">
        <f t="shared" ca="1" si="1"/>
        <v>-0.20512820512820509</v>
      </c>
    </row>
    <row r="32" spans="1:16" ht="18" customHeight="1">
      <c r="A32" s="178"/>
      <c r="B32" s="35" t="s">
        <v>207</v>
      </c>
      <c r="C32" s="31"/>
      <c r="D32" s="31">
        <f ca="1">8*OFFSET(D$112,MATCH($N$1,$C$112:$C$113,0)-1,0)</f>
        <v>8</v>
      </c>
      <c r="E32" s="31">
        <f ca="1">8.4*OFFSET(E$112,MATCH($N$1,$C$112:$C$113,0)-1,0)</f>
        <v>8.4</v>
      </c>
      <c r="F32" s="31">
        <f ca="1">8.3*OFFSET(F$112,MATCH($N$1,$C$112:$C$113,0)-1,0)</f>
        <v>8.3000000000000007</v>
      </c>
      <c r="G32" s="31">
        <f ca="1">11.3*OFFSET(G$112,MATCH($N$1,$C$112:$C$113,0)-1,0)</f>
        <v>11.3</v>
      </c>
      <c r="H32" s="31">
        <f ca="1">7.3*OFFSET(H$112,MATCH($N$1,$C$112:$C$113,0)-1,0)</f>
        <v>7.3</v>
      </c>
      <c r="I32" s="31">
        <f ca="1">7.3*OFFSET(I$112,MATCH($N$1,$C$112:$C$113,0)-1,0)</f>
        <v>7.3</v>
      </c>
      <c r="J32" s="31">
        <f ca="1">6.4*OFFSET(J$112,MATCH($N$1,$C$112:$C$113,0)-1,0)</f>
        <v>6.4</v>
      </c>
      <c r="K32" s="31">
        <f ca="1">6.3*OFFSET(K$112,MATCH($N$1,$C$112:$C$113,0)-1,0)</f>
        <v>6.3</v>
      </c>
      <c r="L32" s="31">
        <f ca="1">7.8*OFFSET(L$112,MATCH($N$1,$C$112:$C$113,0)-1,0)</f>
        <v>7.8</v>
      </c>
      <c r="M32" s="31">
        <f ca="1">7*OFFSET(M$112,MATCH($N$1,$C$112:$C$113,0)-1,0)</f>
        <v>7</v>
      </c>
      <c r="N32" s="31">
        <v>6.8</v>
      </c>
      <c r="O32" s="28">
        <f t="shared" ca="1" si="0"/>
        <v>-0.15000000000000002</v>
      </c>
      <c r="P32" s="28">
        <f t="shared" ca="1" si="1"/>
        <v>6.2499999999999917E-2</v>
      </c>
    </row>
    <row r="33" spans="1:16" ht="18" customHeight="1">
      <c r="A33" s="178"/>
      <c r="B33" s="35" t="s">
        <v>208</v>
      </c>
      <c r="C33" s="31"/>
      <c r="D33" s="31">
        <f ca="1">30.1*OFFSET(D$112,MATCH($N$1,$C$112:$C$113,0)-1,0)</f>
        <v>30.1</v>
      </c>
      <c r="E33" s="31">
        <f ca="1">29.2*OFFSET(E$112,MATCH($N$1,$C$112:$C$113,0)-1,0)</f>
        <v>29.2</v>
      </c>
      <c r="F33" s="31">
        <f ca="1">25.4*OFFSET(F$112,MATCH($N$1,$C$112:$C$113,0)-1,0)</f>
        <v>25.4</v>
      </c>
      <c r="G33" s="31">
        <f ca="1">24.8*OFFSET(G$112,MATCH($N$1,$C$112:$C$113,0)-1,0)</f>
        <v>24.8</v>
      </c>
      <c r="H33" s="31">
        <f ca="1">25.7*OFFSET(H$112,MATCH($N$1,$C$112:$C$113,0)-1,0)</f>
        <v>25.7</v>
      </c>
      <c r="I33" s="31">
        <f ca="1">23.4*OFFSET(I$112,MATCH($N$1,$C$112:$C$113,0)-1,0)</f>
        <v>23.4</v>
      </c>
      <c r="J33" s="31">
        <f ca="1">25.4*OFFSET(J$112,MATCH($N$1,$C$112:$C$113,0)-1,0)</f>
        <v>25.4</v>
      </c>
      <c r="K33" s="31">
        <f ca="1">26.4*OFFSET(K$112,MATCH($N$1,$C$112:$C$113,0)-1,0)</f>
        <v>26.4</v>
      </c>
      <c r="L33" s="31">
        <f ca="1">28.4*OFFSET(L$112,MATCH($N$1,$C$112:$C$113,0)-1,0)</f>
        <v>28.4</v>
      </c>
      <c r="M33" s="31">
        <f ca="1">23*OFFSET(M$112,MATCH($N$1,$C$112:$C$113,0)-1,0)</f>
        <v>23</v>
      </c>
      <c r="N33" s="31">
        <v>21.6</v>
      </c>
      <c r="O33" s="28">
        <f t="shared" ca="1" si="0"/>
        <v>-0.28239202657807305</v>
      </c>
      <c r="P33" s="28">
        <f t="shared" ca="1" si="1"/>
        <v>-0.14960629921259833</v>
      </c>
    </row>
    <row r="34" spans="1:16" ht="18" customHeight="1">
      <c r="A34" s="178"/>
      <c r="B34" s="35" t="s">
        <v>209</v>
      </c>
      <c r="C34" s="31"/>
      <c r="D34" s="31">
        <f ca="1">9*OFFSET(D$112,MATCH($N$1,$C$112:$C$113,0)-1,0)</f>
        <v>9</v>
      </c>
      <c r="E34" s="31">
        <f ca="1">9.1*OFFSET(E$112,MATCH($N$1,$C$112:$C$113,0)-1,0)</f>
        <v>9.1</v>
      </c>
      <c r="F34" s="31">
        <f ca="1">8.8*OFFSET(F$112,MATCH($N$1,$C$112:$C$113,0)-1,0)</f>
        <v>8.8000000000000007</v>
      </c>
      <c r="G34" s="31">
        <f ca="1">9.4*OFFSET(G$112,MATCH($N$1,$C$112:$C$113,0)-1,0)</f>
        <v>9.4</v>
      </c>
      <c r="H34" s="31">
        <f ca="1">11.3*OFFSET(H$112,MATCH($N$1,$C$112:$C$113,0)-1,0)</f>
        <v>11.3</v>
      </c>
      <c r="I34" s="31">
        <f ca="1">10.1*OFFSET(I$112,MATCH($N$1,$C$112:$C$113,0)-1,0)</f>
        <v>10.1</v>
      </c>
      <c r="J34" s="31">
        <f ca="1">8.3*OFFSET(J$112,MATCH($N$1,$C$112:$C$113,0)-1,0)</f>
        <v>8.3000000000000007</v>
      </c>
      <c r="K34" s="31">
        <f ca="1">7.1*OFFSET(K$112,MATCH($N$1,$C$112:$C$113,0)-1,0)</f>
        <v>7.1</v>
      </c>
      <c r="L34" s="31">
        <f ca="1">6.8*OFFSET(L$112,MATCH($N$1,$C$112:$C$113,0)-1,0)</f>
        <v>6.8</v>
      </c>
      <c r="M34" s="31">
        <f ca="1">5*OFFSET(M$112,MATCH($N$1,$C$112:$C$113,0)-1,0)</f>
        <v>5</v>
      </c>
      <c r="N34" s="31">
        <v>8.1999999999999993</v>
      </c>
      <c r="O34" s="28">
        <f t="shared" ca="1" si="0"/>
        <v>-8.8888888888888962E-2</v>
      </c>
      <c r="P34" s="28">
        <f t="shared" ca="1" si="1"/>
        <v>-1.2048192771084508E-2</v>
      </c>
    </row>
    <row r="35" spans="1:16" ht="18" customHeight="1">
      <c r="A35" s="178"/>
      <c r="B35" s="35" t="s">
        <v>210</v>
      </c>
      <c r="C35" s="31"/>
      <c r="D35" s="31">
        <f ca="1">39.2*OFFSET(D$112,MATCH($N$1,$C$112:$C$113,0)-1,0)</f>
        <v>39.200000000000003</v>
      </c>
      <c r="E35" s="31">
        <f ca="1">38.2*OFFSET(E$112,MATCH($N$1,$C$112:$C$113,0)-1,0)</f>
        <v>38.200000000000003</v>
      </c>
      <c r="F35" s="31">
        <f ca="1">34.2*OFFSET(F$112,MATCH($N$1,$C$112:$C$113,0)-1,0)</f>
        <v>34.200000000000003</v>
      </c>
      <c r="G35" s="31">
        <f ca="1">34.2*OFFSET(G$112,MATCH($N$1,$C$112:$C$113,0)-1,0)</f>
        <v>34.200000000000003</v>
      </c>
      <c r="H35" s="31">
        <f ca="1">36.9*OFFSET(H$112,MATCH($N$1,$C$112:$C$113,0)-1,0)</f>
        <v>36.9</v>
      </c>
      <c r="I35" s="31">
        <f ca="1">33.5*OFFSET(I$112,MATCH($N$1,$C$112:$C$113,0)-1,0)</f>
        <v>33.5</v>
      </c>
      <c r="J35" s="31">
        <f ca="1">33.6*OFFSET(J$112,MATCH($N$1,$C$112:$C$113,0)-1,0)</f>
        <v>33.6</v>
      </c>
      <c r="K35" s="31">
        <f ca="1">33.5*OFFSET(K$112,MATCH($N$1,$C$112:$C$113,0)-1,0)</f>
        <v>33.5</v>
      </c>
      <c r="L35" s="31">
        <f ca="1">35.2*OFFSET(L$112,MATCH($N$1,$C$112:$C$113,0)-1,0)</f>
        <v>35.200000000000003</v>
      </c>
      <c r="M35" s="31">
        <f ca="1">28.1*OFFSET(M$112,MATCH($N$1,$C$112:$C$113,0)-1,0)</f>
        <v>28.1</v>
      </c>
      <c r="N35" s="31">
        <v>29.8</v>
      </c>
      <c r="O35" s="28">
        <f t="shared" ca="1" si="0"/>
        <v>-0.23979591836734698</v>
      </c>
      <c r="P35" s="28">
        <f t="shared" ca="1" si="1"/>
        <v>-0.11309523809523811</v>
      </c>
    </row>
    <row r="36" spans="1:16" ht="18" customHeight="1">
      <c r="A36" s="178"/>
      <c r="B36" s="40" t="s">
        <v>211</v>
      </c>
      <c r="C36" s="41"/>
      <c r="D36" s="41">
        <f ca="1">32.5*OFFSET(D$112,MATCH($N$1,$C$112:$C$113,0)-1,0)</f>
        <v>32.5</v>
      </c>
      <c r="E36" s="41">
        <f ca="1">32.3*OFFSET(E$112,MATCH($N$1,$C$112:$C$113,0)-1,0)</f>
        <v>32.299999999999997</v>
      </c>
      <c r="F36" s="41">
        <f ca="1">28.5*OFFSET(F$112,MATCH($N$1,$C$112:$C$113,0)-1,0)</f>
        <v>28.5</v>
      </c>
      <c r="G36" s="41">
        <f ca="1">22.8*OFFSET(G$112,MATCH($N$1,$C$112:$C$113,0)-1,0)</f>
        <v>22.8</v>
      </c>
      <c r="H36" s="41">
        <f ca="1">32.6*OFFSET(H$112,MATCH($N$1,$C$112:$C$113,0)-1,0)</f>
        <v>32.6</v>
      </c>
      <c r="I36" s="41">
        <f ca="1">24.2*OFFSET(I$112,MATCH($N$1,$C$112:$C$113,0)-1,0)</f>
        <v>24.2</v>
      </c>
      <c r="J36" s="41">
        <f ca="1">30.3*OFFSET(J$112,MATCH($N$1,$C$112:$C$113,0)-1,0)</f>
        <v>30.3</v>
      </c>
      <c r="K36" s="41">
        <f ca="1">34.8*OFFSET(K$112,MATCH($N$1,$C$112:$C$113,0)-1,0)</f>
        <v>34.799999999999997</v>
      </c>
      <c r="L36" s="41">
        <f ca="1">31.2*OFFSET(L$112,MATCH($N$1,$C$112:$C$113,0)-1,0)</f>
        <v>31.2</v>
      </c>
      <c r="M36" s="41">
        <f ca="1">28.4*OFFSET(M$112,MATCH($N$1,$C$112:$C$113,0)-1,0)</f>
        <v>28.4</v>
      </c>
      <c r="N36" s="41">
        <v>28.799999999999997</v>
      </c>
      <c r="O36" s="28">
        <f t="shared" ca="1" si="0"/>
        <v>-0.11384615384615393</v>
      </c>
      <c r="P36" s="28">
        <f t="shared" ca="1" si="1"/>
        <v>-4.9504950495049618E-2</v>
      </c>
    </row>
    <row r="37" spans="1:16" ht="18" customHeight="1">
      <c r="A37" s="178"/>
      <c r="B37" s="40" t="s">
        <v>212</v>
      </c>
      <c r="C37" s="41"/>
      <c r="D37" s="41">
        <f ca="1">15.5*OFFSET(D$112,MATCH($N$1,$C$112:$C$113,0)-1,0)</f>
        <v>15.5</v>
      </c>
      <c r="E37" s="41">
        <f ca="1">17.7*OFFSET(E$112,MATCH($N$1,$C$112:$C$113,0)-1,0)</f>
        <v>17.7</v>
      </c>
      <c r="F37" s="41">
        <f ca="1">17.5*OFFSET(F$112,MATCH($N$1,$C$112:$C$113,0)-1,0)</f>
        <v>17.5</v>
      </c>
      <c r="G37" s="41">
        <f ca="1">14.9*OFFSET(G$112,MATCH($N$1,$C$112:$C$113,0)-1,0)</f>
        <v>14.9</v>
      </c>
      <c r="H37" s="41">
        <f ca="1">19.4*OFFSET(H$112,MATCH($N$1,$C$112:$C$113,0)-1,0)</f>
        <v>19.399999999999999</v>
      </c>
      <c r="I37" s="41">
        <f ca="1">11.6*OFFSET(I$112,MATCH($N$1,$C$112:$C$113,0)-1,0)</f>
        <v>11.6</v>
      </c>
      <c r="J37" s="41">
        <f ca="1">14.7*OFFSET(J$112,MATCH($N$1,$C$112:$C$113,0)-1,0)</f>
        <v>14.7</v>
      </c>
      <c r="K37" s="41">
        <f ca="1">18.8*OFFSET(K$112,MATCH($N$1,$C$112:$C$113,0)-1,0)</f>
        <v>18.8</v>
      </c>
      <c r="L37" s="41">
        <f ca="1">14.9*OFFSET(L$112,MATCH($N$1,$C$112:$C$113,0)-1,0)</f>
        <v>14.9</v>
      </c>
      <c r="M37" s="41">
        <f ca="1">16*OFFSET(M$112,MATCH($N$1,$C$112:$C$113,0)-1,0)</f>
        <v>16</v>
      </c>
      <c r="N37" s="41">
        <v>16.399999999999999</v>
      </c>
      <c r="O37" s="28">
        <f t="shared" ca="1" si="0"/>
        <v>5.8064516129032163E-2</v>
      </c>
      <c r="P37" s="28">
        <f t="shared" ca="1" si="1"/>
        <v>0.11564625850340132</v>
      </c>
    </row>
    <row r="38" spans="1:16" ht="18" customHeight="1">
      <c r="A38" s="178"/>
      <c r="B38" s="35" t="s">
        <v>213</v>
      </c>
      <c r="C38" s="31"/>
      <c r="D38" s="31">
        <f ca="1">3.2*OFFSET(D$112,MATCH($N$1,$C$112:$C$113,0)-1,0)</f>
        <v>3.2</v>
      </c>
      <c r="E38" s="31">
        <f ca="1">2.5*OFFSET(E$112,MATCH($N$1,$C$112:$C$113,0)-1,0)</f>
        <v>2.5</v>
      </c>
      <c r="F38" s="31">
        <f ca="1">2.9*OFFSET(F$112,MATCH($N$1,$C$112:$C$113,0)-1,0)</f>
        <v>2.9</v>
      </c>
      <c r="G38" s="31">
        <f ca="1">4.5*OFFSET(G$112,MATCH($N$1,$C$112:$C$113,0)-1,0)</f>
        <v>4.5</v>
      </c>
      <c r="H38" s="31">
        <f ca="1">3.2*OFFSET(H$112,MATCH($N$1,$C$112:$C$113,0)-1,0)</f>
        <v>3.2</v>
      </c>
      <c r="I38" s="31">
        <f ca="1">2.4*OFFSET(I$112,MATCH($N$1,$C$112:$C$113,0)-1,0)</f>
        <v>2.4</v>
      </c>
      <c r="J38" s="31">
        <f ca="1">3.6*OFFSET(J$112,MATCH($N$1,$C$112:$C$113,0)-1,0)</f>
        <v>3.6</v>
      </c>
      <c r="K38" s="31">
        <f ca="1">2.8*OFFSET(K$112,MATCH($N$1,$C$112:$C$113,0)-1,0)</f>
        <v>2.8</v>
      </c>
      <c r="L38" s="31">
        <f ca="1">3.8*OFFSET(L$112,MATCH($N$1,$C$112:$C$113,0)-1,0)</f>
        <v>3.8</v>
      </c>
      <c r="M38" s="31">
        <f ca="1">4.1*OFFSET(M$112,MATCH($N$1,$C$112:$C$113,0)-1,0)</f>
        <v>4.0999999999999996</v>
      </c>
      <c r="N38" s="31"/>
      <c r="O38" s="28" t="str">
        <f t="shared" si="0"/>
        <v/>
      </c>
      <c r="P38" s="28" t="str">
        <f t="shared" si="1"/>
        <v/>
      </c>
    </row>
    <row r="39" spans="1:16" ht="18" customHeight="1">
      <c r="A39" s="178"/>
      <c r="B39" s="35" t="s">
        <v>214</v>
      </c>
      <c r="C39" s="31"/>
      <c r="D39" s="31">
        <f ca="1">0.5*OFFSET(D$112,MATCH($N$1,$C$112:$C$113,0)-1,0)</f>
        <v>0.5</v>
      </c>
      <c r="E39" s="31">
        <f ca="1">0.4*OFFSET(E$112,MATCH($N$1,$C$112:$C$113,0)-1,0)</f>
        <v>0.4</v>
      </c>
      <c r="F39" s="31">
        <f ca="1">0.4*OFFSET(F$112,MATCH($N$1,$C$112:$C$113,0)-1,0)</f>
        <v>0.4</v>
      </c>
      <c r="G39" s="31">
        <f ca="1">0.5*OFFSET(G$112,MATCH($N$1,$C$112:$C$113,0)-1,0)</f>
        <v>0.5</v>
      </c>
      <c r="H39" s="31">
        <f ca="1">0.4*OFFSET(H$112,MATCH($N$1,$C$112:$C$113,0)-1,0)</f>
        <v>0.4</v>
      </c>
      <c r="I39" s="31">
        <f ca="1">0.5*OFFSET(I$112,MATCH($N$1,$C$112:$C$113,0)-1,0)</f>
        <v>0.5</v>
      </c>
      <c r="J39" s="31">
        <f ca="1">0.3*OFFSET(J$112,MATCH($N$1,$C$112:$C$113,0)-1,0)</f>
        <v>0.3</v>
      </c>
      <c r="K39" s="31">
        <f ca="1">0.3*OFFSET(K$112,MATCH($N$1,$C$112:$C$113,0)-1,0)</f>
        <v>0.3</v>
      </c>
      <c r="L39" s="31">
        <f ca="1">0.2*OFFSET(L$112,MATCH($N$1,$C$112:$C$113,0)-1,0)</f>
        <v>0.2</v>
      </c>
      <c r="M39" s="31">
        <f ca="1">0.1*OFFSET(M$112,MATCH($N$1,$C$112:$C$113,0)-1,0)</f>
        <v>0.1</v>
      </c>
      <c r="N39" s="31"/>
      <c r="O39" s="28" t="str">
        <f t="shared" si="0"/>
        <v/>
      </c>
      <c r="P39" s="28" t="str">
        <f t="shared" si="1"/>
        <v/>
      </c>
    </row>
    <row r="40" spans="1:16" ht="18" customHeight="1">
      <c r="A40" s="178"/>
      <c r="B40" s="35" t="s">
        <v>215</v>
      </c>
      <c r="C40" s="31"/>
      <c r="D40" s="31">
        <f ca="1">1.7*OFFSET(D$112,MATCH($N$1,$C$112:$C$113,0)-1,0)</f>
        <v>1.7</v>
      </c>
      <c r="E40" s="31">
        <f ca="1">1.3*OFFSET(E$112,MATCH($N$1,$C$112:$C$113,0)-1,0)</f>
        <v>1.3</v>
      </c>
      <c r="F40" s="31">
        <f ca="1">1.6*OFFSET(F$112,MATCH($N$1,$C$112:$C$113,0)-1,0)</f>
        <v>1.6</v>
      </c>
      <c r="G40" s="31">
        <f ca="1">0.3*OFFSET(G$112,MATCH($N$1,$C$112:$C$113,0)-1,0)</f>
        <v>0.3</v>
      </c>
      <c r="H40" s="31">
        <f ca="1">0.1*OFFSET(H$112,MATCH($N$1,$C$112:$C$113,0)-1,0)</f>
        <v>0.1</v>
      </c>
      <c r="I40" s="31">
        <f ca="1">0.3*OFFSET(I$112,MATCH($N$1,$C$112:$C$113,0)-1,0)</f>
        <v>0.3</v>
      </c>
      <c r="J40" s="31">
        <f ca="1">0.1*OFFSET(J$112,MATCH($N$1,$C$112:$C$113,0)-1,0)</f>
        <v>0.1</v>
      </c>
      <c r="K40" s="31">
        <f ca="1">0.2*OFFSET(K$112,MATCH($N$1,$C$112:$C$113,0)-1,0)</f>
        <v>0.2</v>
      </c>
      <c r="L40" s="31">
        <f ca="1">0.1*OFFSET(L$112,MATCH($N$1,$C$112:$C$113,0)-1,0)</f>
        <v>0.1</v>
      </c>
      <c r="M40" s="31"/>
      <c r="N40" s="31"/>
      <c r="O40" s="28" t="str">
        <f t="shared" si="0"/>
        <v/>
      </c>
      <c r="P40" s="28" t="str">
        <f t="shared" si="1"/>
        <v/>
      </c>
    </row>
    <row r="41" spans="1:16" ht="18" customHeight="1" thickBot="1">
      <c r="A41" s="179"/>
      <c r="B41" s="42" t="s">
        <v>216</v>
      </c>
      <c r="C41" s="43"/>
      <c r="D41" s="43">
        <f ca="1">10.1*OFFSET(D$112,MATCH($N$1,$C$112:$C$113,0)-1,0)</f>
        <v>10.1</v>
      </c>
      <c r="E41" s="43">
        <f ca="1">13.4*OFFSET(E$112,MATCH($N$1,$C$112:$C$113,0)-1,0)</f>
        <v>13.4</v>
      </c>
      <c r="F41" s="43">
        <f ca="1">12.7*OFFSET(F$112,MATCH($N$1,$C$112:$C$113,0)-1,0)</f>
        <v>12.7</v>
      </c>
      <c r="G41" s="43">
        <f ca="1">9.6*OFFSET(G$112,MATCH($N$1,$C$112:$C$113,0)-1,0)</f>
        <v>9.6</v>
      </c>
      <c r="H41" s="43">
        <f ca="1">15.6*OFFSET(H$112,MATCH($N$1,$C$112:$C$113,0)-1,0)</f>
        <v>15.6</v>
      </c>
      <c r="I41" s="43">
        <f ca="1">8.4*OFFSET(I$112,MATCH($N$1,$C$112:$C$113,0)-1,0)</f>
        <v>8.4</v>
      </c>
      <c r="J41" s="43">
        <f ca="1">10.7*OFFSET(J$112,MATCH($N$1,$C$112:$C$113,0)-1,0)</f>
        <v>10.7</v>
      </c>
      <c r="K41" s="43">
        <f ca="1">15.5*OFFSET(K$112,MATCH($N$1,$C$112:$C$113,0)-1,0)</f>
        <v>15.5</v>
      </c>
      <c r="L41" s="43">
        <f ca="1">10.7*OFFSET(L$112,MATCH($N$1,$C$112:$C$113,0)-1,0)</f>
        <v>10.7</v>
      </c>
      <c r="M41" s="43">
        <f ca="1">11.7*OFFSET(M$112,MATCH($N$1,$C$112:$C$113,0)-1,0)</f>
        <v>11.7</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159</v>
      </c>
      <c r="F46" s="90" t="s">
        <v>159</v>
      </c>
      <c r="G46" s="90" t="s">
        <v>159</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Under 10m drift and/or fixed nets</v>
      </c>
      <c r="B48" s="202"/>
      <c r="C48" s="92"/>
      <c r="D48" s="92"/>
      <c r="E48" s="92"/>
      <c r="F48" s="92"/>
      <c r="G48" s="92"/>
      <c r="H48" s="202"/>
      <c r="I48" s="202"/>
      <c r="J48" s="202"/>
      <c r="K48" s="92" t="str">
        <f>$B24&amp;CHAR(10)&amp;$A$1</f>
        <v>Operating profit per kW day at sea (£)
Under 10m drift and/or fixed nets</v>
      </c>
      <c r="L48" s="202"/>
      <c r="M48" s="202"/>
      <c r="N48" s="202"/>
      <c r="O48" s="202"/>
      <c r="P48" s="202"/>
    </row>
    <row r="49" spans="1:11" s="80" customFormat="1">
      <c r="A49" s="92" t="str">
        <f>$B22&amp;CHAR(10)&amp;$A$1</f>
        <v>Fishing income per kW day at sea (£)
Under 10m drift and/or fixed nets</v>
      </c>
      <c r="B49" s="202"/>
      <c r="C49" s="202"/>
      <c r="D49" s="202"/>
      <c r="E49" s="202"/>
      <c r="F49" s="202"/>
      <c r="G49" s="202"/>
      <c r="H49" s="202"/>
      <c r="I49" s="202"/>
      <c r="J49" s="202"/>
      <c r="K49" s="202"/>
    </row>
    <row r="50" spans="1:11" s="80" customFormat="1">
      <c r="A50" s="92" t="str">
        <f>$B20&amp;CHAR(10)&amp;$A$1</f>
        <v>Average price per tonne landed (£)
Under 10m drift and/or fixed nets</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Under 10m drift and/or fixed nets</v>
      </c>
      <c r="C62" s="202"/>
      <c r="D62" s="202"/>
      <c r="E62" s="202"/>
      <c r="F62" s="92" t="str">
        <f>$B20&amp;CHAR(10)&amp;$A$1</f>
        <v>Average price per tonne landed (£)
Under 10m drift and/or fixed nets</v>
      </c>
      <c r="G62" s="202"/>
      <c r="H62" s="202"/>
      <c r="I62" s="202"/>
      <c r="J62" s="202"/>
      <c r="K62" s="92" t="str">
        <f>"Average annual operating profit per vessel (£'000)"&amp;CHAR(10)&amp;$A$1</f>
        <v>Average annual operating profit per vessel (£'000)
Under 10m drift and/or fixed nets</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Under 10m drift and/or fixed nets</v>
      </c>
      <c r="F76" s="92" t="str">
        <f>"Top 5 landed species by value in "&amp;A77&amp;CHAR(10)&amp;A1</f>
        <v>Top 5 landed species by value in 2019
Under 10m drift and/or fixed nets</v>
      </c>
    </row>
    <row r="77" spans="1:11" s="92" customFormat="1">
      <c r="A77" s="92">
        <v>2019</v>
      </c>
      <c r="B77" s="92" t="s">
        <v>584</v>
      </c>
      <c r="C77" s="93">
        <v>0.18953491978071485</v>
      </c>
      <c r="D77" s="94">
        <v>1692097</v>
      </c>
      <c r="G77" s="92" t="s">
        <v>585</v>
      </c>
      <c r="H77" s="93">
        <v>0.26289218464321717</v>
      </c>
      <c r="I77" s="94">
        <v>12153634</v>
      </c>
      <c r="K77" s="92" t="s">
        <v>230</v>
      </c>
    </row>
    <row r="78" spans="1:11" s="92" customFormat="1">
      <c r="B78" s="92" t="s">
        <v>586</v>
      </c>
      <c r="C78" s="93">
        <v>9.3642511984674881E-2</v>
      </c>
      <c r="D78" s="94">
        <v>3050596</v>
      </c>
      <c r="G78" s="92" t="s">
        <v>587</v>
      </c>
      <c r="H78" s="93">
        <v>0.11203905038573388</v>
      </c>
      <c r="I78" s="94">
        <v>553960</v>
      </c>
    </row>
    <row r="79" spans="1:11" s="92" customFormat="1">
      <c r="B79" s="92" t="s">
        <v>588</v>
      </c>
      <c r="C79" s="93">
        <v>8.5989992589950548E-2</v>
      </c>
      <c r="D79" s="94">
        <v>11115023</v>
      </c>
      <c r="G79" s="92" t="s">
        <v>589</v>
      </c>
      <c r="H79" s="93">
        <v>8.9872895050295401E-2</v>
      </c>
      <c r="I79" s="94">
        <v>3050596</v>
      </c>
    </row>
    <row r="80" spans="1:11" s="92" customFormat="1">
      <c r="B80" s="92" t="s">
        <v>590</v>
      </c>
      <c r="C80" s="93">
        <v>7.5941620525775119E-2</v>
      </c>
      <c r="D80" s="94">
        <v>2480382</v>
      </c>
      <c r="G80" s="92" t="s">
        <v>591</v>
      </c>
      <c r="H80" s="93">
        <v>8.430737278289617E-2</v>
      </c>
      <c r="I80" s="94">
        <v>1692097</v>
      </c>
    </row>
    <row r="81" spans="1:19" s="92" customFormat="1">
      <c r="B81" s="92" t="s">
        <v>592</v>
      </c>
      <c r="C81" s="93">
        <v>6.9510722262917948E-2</v>
      </c>
      <c r="D81" s="94">
        <v>7434864</v>
      </c>
      <c r="G81" s="92" t="s">
        <v>593</v>
      </c>
      <c r="H81" s="93">
        <v>5.6341697436568833E-2</v>
      </c>
      <c r="I81" s="94">
        <v>3689192</v>
      </c>
    </row>
    <row r="82" spans="1:19" s="92" customFormat="1">
      <c r="B82" s="92" t="s">
        <v>594</v>
      </c>
      <c r="C82" s="93">
        <v>0.48538023285596665</v>
      </c>
      <c r="D82" s="94">
        <v>5920853</v>
      </c>
      <c r="G82" s="92" t="s">
        <v>595</v>
      </c>
      <c r="H82" s="93">
        <v>0.39454679970128859</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171</v>
      </c>
      <c r="D92" s="98">
        <v>0.333488165637011</v>
      </c>
      <c r="E92" s="98">
        <v>0.28844311654746618</v>
      </c>
      <c r="F92" s="98">
        <v>0.26850338874963342</v>
      </c>
      <c r="G92" s="98">
        <v>0.24134412512114328</v>
      </c>
      <c r="H92" s="98">
        <v>0.29624209935649259</v>
      </c>
      <c r="I92" s="98">
        <v>0.22869990368048759</v>
      </c>
      <c r="J92" s="98">
        <v>0.26757187898674284</v>
      </c>
      <c r="K92" s="98">
        <v>0.30225684874310094</v>
      </c>
      <c r="L92" s="98">
        <v>0.26289218464321717</v>
      </c>
      <c r="M92" s="98">
        <v>0.24197325716531143</v>
      </c>
      <c r="O92" s="92">
        <v>12153634</v>
      </c>
    </row>
    <row r="93" spans="1:19" s="92" customFormat="1" hidden="1">
      <c r="B93" s="92">
        <v>2</v>
      </c>
      <c r="C93" s="92" t="s">
        <v>361</v>
      </c>
      <c r="D93" s="98">
        <v>0.14052572578372691</v>
      </c>
      <c r="E93" s="98">
        <v>0.16669526928914136</v>
      </c>
      <c r="F93" s="98">
        <v>0.18301357471573879</v>
      </c>
      <c r="G93" s="98">
        <v>0.28009911143223593</v>
      </c>
      <c r="H93" s="98">
        <v>0.20195406641419714</v>
      </c>
      <c r="I93" s="98">
        <v>0.14850336834647795</v>
      </c>
      <c r="J93" s="98">
        <v>7.3095020309584188E-2</v>
      </c>
      <c r="K93" s="98">
        <v>9.941342908968516E-2</v>
      </c>
      <c r="L93" s="98">
        <v>0.11203905038573388</v>
      </c>
      <c r="M93" s="98">
        <v>0.12774719098153925</v>
      </c>
      <c r="O93" s="92">
        <v>553960</v>
      </c>
    </row>
    <row r="94" spans="1:19" s="92" customFormat="1" hidden="1">
      <c r="B94" s="92">
        <v>3</v>
      </c>
      <c r="C94" s="92" t="s">
        <v>242</v>
      </c>
      <c r="D94" s="98">
        <v>5.1078154505778628E-2</v>
      </c>
      <c r="E94" s="98">
        <v>7.766084010705733E-2</v>
      </c>
      <c r="F94" s="98">
        <v>6.272873528434432E-2</v>
      </c>
      <c r="G94" s="98">
        <v>5.4047954552092971E-2</v>
      </c>
      <c r="H94" s="98">
        <v>5.0494417076834365E-2</v>
      </c>
      <c r="I94" s="98">
        <v>8.4716108082951505E-2</v>
      </c>
      <c r="J94" s="98">
        <v>0.11236286836418859</v>
      </c>
      <c r="K94" s="98">
        <v>9.4034473704803417E-2</v>
      </c>
      <c r="L94" s="98">
        <v>8.9872895050295401E-2</v>
      </c>
      <c r="M94" s="98">
        <v>9.5037245113749863E-2</v>
      </c>
      <c r="O94" s="92">
        <v>3050596</v>
      </c>
    </row>
    <row r="95" spans="1:19" s="92" customFormat="1" hidden="1">
      <c r="B95" s="92">
        <v>4</v>
      </c>
      <c r="C95" s="92" t="s">
        <v>378</v>
      </c>
      <c r="D95" s="98"/>
      <c r="E95" s="98"/>
      <c r="F95" s="98"/>
      <c r="G95" s="98">
        <v>4.2213317283214077E-2</v>
      </c>
      <c r="H95" s="98">
        <v>5.4279128604824686E-2</v>
      </c>
      <c r="I95" s="98">
        <v>5.5060288607253018E-2</v>
      </c>
      <c r="J95" s="98">
        <v>7.0223876179935099E-2</v>
      </c>
      <c r="K95" s="98">
        <v>7.7119471138370768E-2</v>
      </c>
      <c r="L95" s="98">
        <v>8.430737278289617E-2</v>
      </c>
      <c r="M95" s="98">
        <v>8.3547691477772343E-2</v>
      </c>
      <c r="O95" s="92">
        <v>1692097</v>
      </c>
    </row>
    <row r="96" spans="1:19" s="92" customFormat="1" hidden="1">
      <c r="B96" s="92">
        <v>5</v>
      </c>
      <c r="C96" s="92" t="s">
        <v>286</v>
      </c>
      <c r="D96" s="98"/>
      <c r="E96" s="98"/>
      <c r="F96" s="98"/>
      <c r="G96" s="98"/>
      <c r="H96" s="98"/>
      <c r="I96" s="98"/>
      <c r="J96" s="98">
        <v>7.0051119766595227E-2</v>
      </c>
      <c r="K96" s="98">
        <v>4.7775114974244359E-2</v>
      </c>
      <c r="L96" s="98">
        <v>5.6341697436568833E-2</v>
      </c>
      <c r="M96" s="98"/>
      <c r="O96" s="92">
        <v>3689192</v>
      </c>
    </row>
    <row r="97" spans="1:15" s="92" customFormat="1" hidden="1">
      <c r="B97" s="92">
        <v>6</v>
      </c>
      <c r="C97" s="92" t="s">
        <v>377</v>
      </c>
      <c r="D97" s="98"/>
      <c r="E97" s="98"/>
      <c r="F97" s="98"/>
      <c r="G97" s="98"/>
      <c r="H97" s="98"/>
      <c r="I97" s="98"/>
      <c r="J97" s="98"/>
      <c r="K97" s="98"/>
      <c r="L97" s="98"/>
      <c r="M97" s="98">
        <v>5.7723554778168325E-2</v>
      </c>
      <c r="O97" s="92">
        <v>11115023</v>
      </c>
    </row>
    <row r="98" spans="1:15" s="92" customFormat="1" hidden="1">
      <c r="B98" s="92">
        <v>7</v>
      </c>
      <c r="C98" s="92" t="s">
        <v>161</v>
      </c>
      <c r="D98" s="98"/>
      <c r="E98" s="98">
        <v>5.3052624121157708E-2</v>
      </c>
      <c r="F98" s="98">
        <v>5.4930937106562022E-2</v>
      </c>
      <c r="G98" s="98"/>
      <c r="H98" s="98"/>
      <c r="I98" s="98">
        <v>6.0500625547722453E-2</v>
      </c>
      <c r="J98" s="98"/>
      <c r="K98" s="98"/>
      <c r="L98" s="98"/>
      <c r="M98" s="98"/>
      <c r="O98" s="92">
        <v>2480382</v>
      </c>
    </row>
    <row r="99" spans="1:15" s="92" customFormat="1" hidden="1">
      <c r="B99" s="92">
        <v>8</v>
      </c>
      <c r="C99" s="92" t="s">
        <v>241</v>
      </c>
      <c r="D99" s="98">
        <v>3.8522908378339035E-2</v>
      </c>
      <c r="E99" s="98">
        <v>4.1215956840084937E-2</v>
      </c>
      <c r="F99" s="98"/>
      <c r="G99" s="98"/>
      <c r="H99" s="98">
        <v>4.8004724102963497E-2</v>
      </c>
      <c r="I99" s="98"/>
      <c r="J99" s="98"/>
      <c r="K99" s="98"/>
      <c r="L99" s="98"/>
      <c r="M99" s="98"/>
      <c r="O99" s="92">
        <v>7434864</v>
      </c>
    </row>
    <row r="100" spans="1:15" s="92" customFormat="1" hidden="1">
      <c r="B100" s="92">
        <v>9</v>
      </c>
      <c r="C100" s="92" t="s">
        <v>167</v>
      </c>
      <c r="D100" s="98"/>
      <c r="E100" s="98"/>
      <c r="F100" s="98"/>
      <c r="G100" s="98">
        <v>3.7629696669099592E-2</v>
      </c>
      <c r="H100" s="98"/>
      <c r="I100" s="98"/>
      <c r="J100" s="98"/>
      <c r="K100" s="98"/>
      <c r="L100" s="98"/>
      <c r="M100" s="98"/>
      <c r="O100" s="92">
        <v>8497745</v>
      </c>
    </row>
    <row r="101" spans="1:15" s="92" customFormat="1" hidden="1">
      <c r="B101" s="92">
        <v>10</v>
      </c>
      <c r="C101" s="92" t="s">
        <v>170</v>
      </c>
      <c r="D101" s="98"/>
      <c r="E101" s="98"/>
      <c r="F101" s="98">
        <v>4.4650226931498373E-2</v>
      </c>
      <c r="G101" s="98"/>
      <c r="H101" s="98"/>
      <c r="I101" s="98"/>
      <c r="J101" s="98"/>
      <c r="K101" s="98"/>
      <c r="L101" s="98"/>
      <c r="M101" s="98"/>
      <c r="O101" s="92">
        <v>14393110</v>
      </c>
    </row>
    <row r="102" spans="1:15" s="92" customFormat="1" hidden="1">
      <c r="B102" s="92">
        <v>11</v>
      </c>
      <c r="C102" s="92" t="s">
        <v>162</v>
      </c>
      <c r="D102" s="98">
        <v>4.1620514328707225E-2</v>
      </c>
      <c r="E102" s="98"/>
      <c r="F102" s="98"/>
      <c r="G102" s="98"/>
      <c r="H102" s="98"/>
      <c r="I102" s="98"/>
      <c r="J102" s="98"/>
      <c r="K102" s="98"/>
      <c r="L102" s="98"/>
      <c r="M102" s="98"/>
      <c r="O102" s="92">
        <v>2887140</v>
      </c>
    </row>
    <row r="103" spans="1:15" s="92" customFormat="1" hidden="1">
      <c r="B103" s="92">
        <v>12</v>
      </c>
      <c r="C103" s="92" t="s">
        <v>245</v>
      </c>
      <c r="D103" s="98">
        <v>0.39476453136643724</v>
      </c>
      <c r="E103" s="98">
        <v>0.37293219309509251</v>
      </c>
      <c r="F103" s="98">
        <v>0.38617313721222302</v>
      </c>
      <c r="G103" s="98">
        <v>0.34466579494221417</v>
      </c>
      <c r="H103" s="98">
        <v>0.34902556444468774</v>
      </c>
      <c r="I103" s="98">
        <v>0.4225197057351075</v>
      </c>
      <c r="J103" s="98">
        <v>0.40669523639295402</v>
      </c>
      <c r="K103" s="98">
        <v>0.37940066234979536</v>
      </c>
      <c r="L103" s="98">
        <v>0.39454679970128859</v>
      </c>
      <c r="M103" s="98">
        <v>0.39397106048345881</v>
      </c>
      <c r="O103" s="92">
        <v>5920853</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13</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51</v>
      </c>
      <c r="D120" s="54">
        <v>101</v>
      </c>
      <c r="E120" s="54">
        <v>51</v>
      </c>
      <c r="F120" s="55">
        <v>203</v>
      </c>
    </row>
    <row r="121" spans="1:15" ht="18" customHeight="1">
      <c r="A121" s="173" t="s">
        <v>191</v>
      </c>
      <c r="B121" s="33" t="s">
        <v>192</v>
      </c>
      <c r="C121" s="56">
        <v>7.6264705657958984</v>
      </c>
      <c r="D121" s="56">
        <v>7.8754454792136013</v>
      </c>
      <c r="E121" s="56">
        <v>8.6107845306396484</v>
      </c>
      <c r="F121" s="57">
        <v>7.9976353645324707</v>
      </c>
      <c r="G121" s="206"/>
      <c r="H121" s="206"/>
      <c r="I121" s="206"/>
      <c r="J121" s="206"/>
      <c r="K121" s="206"/>
      <c r="L121" s="206"/>
      <c r="M121" s="206"/>
      <c r="N121" s="206"/>
      <c r="O121" s="206"/>
    </row>
    <row r="122" spans="1:15" ht="18" customHeight="1">
      <c r="A122" s="174"/>
      <c r="B122" s="35" t="s">
        <v>184</v>
      </c>
      <c r="C122" s="58">
        <v>61.823528289794922</v>
      </c>
      <c r="D122" s="58">
        <v>68.099008843450264</v>
      </c>
      <c r="E122" s="58">
        <v>97.039215087890625</v>
      </c>
      <c r="F122" s="59">
        <v>73.793106079101563</v>
      </c>
      <c r="G122" s="206"/>
      <c r="H122" s="206"/>
      <c r="I122" s="206"/>
      <c r="J122" s="206"/>
      <c r="K122" s="206"/>
      <c r="L122" s="206"/>
      <c r="M122" s="206"/>
      <c r="N122" s="206"/>
      <c r="O122" s="206"/>
    </row>
    <row r="123" spans="1:15" ht="18" customHeight="1">
      <c r="A123" s="174"/>
      <c r="B123" s="35" t="s">
        <v>185</v>
      </c>
      <c r="C123" s="58">
        <v>4.2549018859863281</v>
      </c>
      <c r="D123" s="58">
        <v>4.4799009738582196</v>
      </c>
      <c r="E123" s="58">
        <v>5.7450981140136719</v>
      </c>
      <c r="F123" s="59">
        <v>4.7412314414978027</v>
      </c>
      <c r="G123" s="206"/>
      <c r="H123" s="206"/>
      <c r="I123" s="206"/>
      <c r="J123" s="206"/>
      <c r="K123" s="206"/>
      <c r="L123" s="206"/>
      <c r="M123" s="206"/>
      <c r="N123" s="206"/>
      <c r="O123" s="206"/>
    </row>
    <row r="124" spans="1:15" ht="18" customHeight="1">
      <c r="A124" s="174"/>
      <c r="B124" s="35" t="s">
        <v>186</v>
      </c>
      <c r="C124" s="58">
        <v>51.210113525390625</v>
      </c>
      <c r="D124" s="58">
        <v>55.955767452126679</v>
      </c>
      <c r="E124" s="58">
        <v>74.38580322265625</v>
      </c>
      <c r="F124" s="59">
        <v>59.393714904785156</v>
      </c>
      <c r="G124" s="206"/>
      <c r="H124" s="206"/>
      <c r="I124" s="206"/>
      <c r="J124" s="206"/>
      <c r="K124" s="206"/>
      <c r="L124" s="206"/>
      <c r="M124" s="206"/>
      <c r="N124" s="206"/>
      <c r="O124" s="206"/>
    </row>
    <row r="125" spans="1:15" ht="18" customHeight="1">
      <c r="A125" s="174"/>
      <c r="B125" s="35" t="s">
        <v>187</v>
      </c>
      <c r="C125" s="31">
        <v>17.071901321411133</v>
      </c>
      <c r="D125" s="31">
        <v>13.757381996305861</v>
      </c>
      <c r="E125" s="31">
        <v>9.8651351928710938</v>
      </c>
      <c r="F125" s="60">
        <v>13.612238883972168</v>
      </c>
      <c r="G125" s="206"/>
      <c r="H125" s="206"/>
      <c r="I125" s="206"/>
      <c r="J125" s="206"/>
      <c r="K125" s="206"/>
      <c r="L125" s="206"/>
      <c r="M125" s="206"/>
      <c r="N125" s="206"/>
      <c r="O125" s="206"/>
    </row>
    <row r="126" spans="1:15" ht="18" customHeight="1">
      <c r="A126" s="174"/>
      <c r="B126" s="35" t="s">
        <v>193</v>
      </c>
      <c r="C126" s="31">
        <f ca="1">65.7015*OFFSET($L$112,MATCH($N$1,$C$112:$C$113,0)-1,0)</f>
        <v>65.701499999999996</v>
      </c>
      <c r="D126" s="31">
        <f ca="1">38.2742481822401*OFFSET($L$112,MATCH($N$1,$C$112:$C$113,0)-1,0)</f>
        <v>38.2742481822401</v>
      </c>
      <c r="E126" s="31">
        <f ca="1">28.617939453125*OFFSET($L$112,MATCH($N$1,$C$112:$C$113,0)-1,0)</f>
        <v>28.617939453125</v>
      </c>
      <c r="F126" s="60">
        <f ca="1">42.73887109375*OFFSET($L$112,MATCH($N$1,$C$112:$C$113,0)-1,0)</f>
        <v>42.738871093749999</v>
      </c>
      <c r="G126" s="206"/>
      <c r="H126" s="206"/>
      <c r="I126" s="206"/>
      <c r="J126" s="206"/>
      <c r="K126" s="206"/>
      <c r="L126" s="206"/>
      <c r="M126" s="206"/>
      <c r="N126" s="206"/>
      <c r="O126" s="206"/>
    </row>
    <row r="127" spans="1:15" ht="18" customHeight="1">
      <c r="A127" s="174"/>
      <c r="B127" s="35" t="s">
        <v>189</v>
      </c>
      <c r="C127" s="58">
        <v>53.784313201904297</v>
      </c>
      <c r="D127" s="58">
        <v>69.069306024230357</v>
      </c>
      <c r="E127" s="58">
        <v>86.784317016601563</v>
      </c>
      <c r="F127" s="59">
        <v>69.679801940917969</v>
      </c>
      <c r="G127" s="206"/>
      <c r="H127" s="206"/>
      <c r="I127" s="206"/>
      <c r="J127" s="206"/>
      <c r="K127" s="206"/>
      <c r="L127" s="206"/>
      <c r="M127" s="206"/>
      <c r="N127" s="206"/>
      <c r="O127" s="206"/>
    </row>
    <row r="128" spans="1:15" ht="18" customHeight="1">
      <c r="A128" s="174"/>
      <c r="B128" s="35" t="s">
        <v>194</v>
      </c>
      <c r="C128" s="58">
        <v>25.098039627075195</v>
      </c>
      <c r="D128" s="58">
        <v>25.564356511182122</v>
      </c>
      <c r="E128" s="58">
        <v>26.647058486938477</v>
      </c>
      <c r="F128" s="59">
        <v>25.719211578369141</v>
      </c>
      <c r="G128" s="206"/>
      <c r="H128" s="206"/>
      <c r="I128" s="206"/>
      <c r="J128" s="206"/>
      <c r="K128" s="206"/>
      <c r="L128" s="206"/>
      <c r="M128" s="206"/>
      <c r="N128" s="206"/>
      <c r="O128" s="206"/>
    </row>
    <row r="129" spans="1:15" ht="18" customHeight="1">
      <c r="A129" s="174"/>
      <c r="B129" s="35" t="s">
        <v>195</v>
      </c>
      <c r="C129" s="61">
        <v>0.31741413474082947</v>
      </c>
      <c r="D129" s="61">
        <v>0.19918228209039199</v>
      </c>
      <c r="E129" s="61">
        <v>0.11367417126893997</v>
      </c>
      <c r="F129" s="62">
        <v>0.1953541487455368</v>
      </c>
      <c r="G129" s="206"/>
      <c r="H129" s="206"/>
      <c r="I129" s="206"/>
      <c r="J129" s="206"/>
      <c r="K129" s="206"/>
      <c r="L129" s="206"/>
      <c r="M129" s="206"/>
      <c r="N129" s="206"/>
      <c r="O129" s="206"/>
    </row>
    <row r="130" spans="1:15" ht="18" customHeight="1">
      <c r="A130" s="175"/>
      <c r="B130" s="37" t="s">
        <v>196</v>
      </c>
      <c r="C130" s="38">
        <f ca="1">3848.51685603401*OFFSET($L$112,MATCH($N$1,$C$112:$C$113,0)-1,0)</f>
        <v>3848.5168560340098</v>
      </c>
      <c r="D130" s="38">
        <f ca="1">2782.08805952452*OFFSET($L$112,MATCH($N$1,$C$112:$C$113,0)-1,0)</f>
        <v>2782.0880595245198</v>
      </c>
      <c r="E130" s="38">
        <f ca="1">2900.91710793841*OFFSET($L$112,MATCH($N$1,$C$112:$C$113,0)-1,0)</f>
        <v>2900.91710793841</v>
      </c>
      <c r="F130" s="63">
        <f ca="1">3140*OFFSET($L$112,MATCH($N$1,$C$112:$C$113,0)-1,0)</f>
        <v>3140</v>
      </c>
      <c r="G130" s="206"/>
      <c r="H130" s="206"/>
      <c r="I130" s="206"/>
      <c r="J130" s="206"/>
      <c r="K130" s="206"/>
      <c r="L130" s="206"/>
      <c r="M130" s="206"/>
      <c r="N130" s="206"/>
      <c r="O130" s="206"/>
    </row>
    <row r="131" spans="1:15" ht="18" customHeight="1">
      <c r="A131" s="184" t="s">
        <v>197</v>
      </c>
      <c r="B131" s="33" t="s">
        <v>198</v>
      </c>
      <c r="C131" s="64">
        <v>5.2068400291070409</v>
      </c>
      <c r="D131" s="64">
        <v>2.8430275064805701</v>
      </c>
      <c r="E131" s="64">
        <v>1.2424419379780081</v>
      </c>
      <c r="F131" s="65">
        <v>2.6046606473072682</v>
      </c>
      <c r="G131" s="206"/>
      <c r="H131" s="206"/>
      <c r="I131" s="206"/>
      <c r="J131" s="206"/>
      <c r="K131" s="206"/>
      <c r="L131" s="206"/>
      <c r="M131" s="206"/>
      <c r="N131" s="206"/>
      <c r="O131" s="206"/>
    </row>
    <row r="132" spans="1:15" ht="18" customHeight="1">
      <c r="A132" s="185"/>
      <c r="B132" s="35" t="s">
        <v>199</v>
      </c>
      <c r="C132" s="61">
        <f ca="1">20.0386116186911*OFFSET($L$112,MATCH($N$1,$C$112:$C$113,0)-1,0)</f>
        <v>20.0386116186911</v>
      </c>
      <c r="D132" s="61">
        <f ca="1">7.90955287867936*OFFSET($L$112,MATCH($N$1,$C$112:$C$113,0)-1,0)</f>
        <v>7.9095528786793601</v>
      </c>
      <c r="E132" s="61">
        <f ca="1">3.60422107350055*OFFSET($L$112,MATCH($N$1,$C$112:$C$113,0)-1,0)</f>
        <v>3.60422107350055</v>
      </c>
      <c r="F132" s="62">
        <f ca="1">8.17795342831543*OFFSET($L$112,MATCH($N$1,$C$112:$C$113,0)-1,0)</f>
        <v>8.1779534283154298</v>
      </c>
      <c r="G132" s="206"/>
      <c r="H132" s="206"/>
      <c r="I132" s="206"/>
      <c r="J132" s="206"/>
      <c r="K132" s="206"/>
      <c r="L132" s="206"/>
      <c r="M132" s="206"/>
      <c r="N132" s="206"/>
      <c r="O132" s="206"/>
    </row>
    <row r="133" spans="1:15" ht="18" customHeight="1">
      <c r="A133" s="185"/>
      <c r="B133" s="35" t="s">
        <v>154</v>
      </c>
      <c r="C133" s="61">
        <f ca="1">11.536733845927*OFFSET($L$112,MATCH($N$1,$C$112:$C$113,0)-1,0)</f>
        <v>11.536733845926999</v>
      </c>
      <c r="D133" s="61">
        <f ca="1">4.99304077484711*OFFSET($L$112,MATCH($N$1,$C$112:$C$113,0)-1,0)</f>
        <v>4.9930407748471097</v>
      </c>
      <c r="E133" s="61">
        <f ca="1">2.63868583939561*OFFSET($L$112,MATCH($N$1,$C$112:$C$113,0)-1,0)</f>
        <v>2.6386858393956101</v>
      </c>
      <c r="F133" s="62">
        <f ca="1">5.12578092080123*OFFSET($L$112,MATCH($N$1,$C$112:$C$113,0)-1,0)</f>
        <v>5.1257809208012297</v>
      </c>
      <c r="G133" s="206"/>
      <c r="H133" s="206"/>
      <c r="I133" s="206"/>
      <c r="J133" s="206"/>
      <c r="K133" s="206"/>
      <c r="L133" s="206"/>
      <c r="M133" s="206"/>
      <c r="N133" s="206"/>
      <c r="O133" s="206"/>
    </row>
    <row r="134" spans="1:15" ht="18" customHeight="1">
      <c r="A134" s="186"/>
      <c r="B134" s="37" t="s">
        <v>155</v>
      </c>
      <c r="C134" s="66">
        <f ca="1">8.50187777276403*OFFSET($L$112,MATCH($N$1,$C$112:$C$113,0)-1,0)</f>
        <v>8.5018777727640291</v>
      </c>
      <c r="D134" s="66">
        <f ca="1">2.91651210383225*OFFSET($L$112,MATCH($N$1,$C$112:$C$113,0)-1,0)</f>
        <v>2.9165121038322499</v>
      </c>
      <c r="E134" s="66">
        <f ca="1">0.965535234104944*OFFSET($L$112,MATCH($N$1,$C$112:$C$113,0)-1,0)</f>
        <v>0.96553523410494402</v>
      </c>
      <c r="F134" s="67">
        <f ca="1">3.0521725075142*OFFSET($L$112,MATCH($N$1,$C$112:$C$113,0)-1,0)</f>
        <v>3.0521725075142001</v>
      </c>
      <c r="G134" s="206"/>
      <c r="H134" s="206"/>
      <c r="I134" s="206"/>
      <c r="J134" s="206"/>
      <c r="K134" s="206"/>
      <c r="L134" s="206"/>
      <c r="M134" s="206"/>
      <c r="N134" s="206"/>
      <c r="O134" s="206"/>
    </row>
    <row r="135" spans="1:15" ht="18" customHeight="1">
      <c r="A135" s="187" t="s">
        <v>254</v>
      </c>
      <c r="B135" s="35" t="s">
        <v>255</v>
      </c>
      <c r="C135" s="68">
        <f ca="1">2.06984155273437*OFFSET($L$112,MATCH($N$1,$C$112:$C$113,0)-1,0)</f>
        <v>2.0698415527343701</v>
      </c>
      <c r="D135" s="68">
        <f ca="1">3.3316063026957*OFFSET($L$112,MATCH($N$1,$C$112:$C$113,0)-1,0)</f>
        <v>3.3316063026956999</v>
      </c>
      <c r="E135" s="68">
        <f ca="1">5.37697705078125*OFFSET($L$112,MATCH($N$1,$C$112:$C$113,0)-1,0)</f>
        <v>5.3769770507812504</v>
      </c>
      <c r="F135" s="69">
        <f ca="1">3.52847290039063*OFFSET($L$112,MATCH($N$1,$C$112:$C$113,0)-1,0)</f>
        <v>3.5284729003906299</v>
      </c>
      <c r="G135" s="206"/>
      <c r="H135" s="206"/>
      <c r="I135" s="206"/>
      <c r="J135" s="206"/>
      <c r="K135" s="206"/>
      <c r="L135" s="206"/>
      <c r="M135" s="206"/>
      <c r="N135" s="206"/>
      <c r="O135" s="206"/>
    </row>
    <row r="136" spans="1:15" ht="18" customHeight="1">
      <c r="A136" s="188"/>
      <c r="B136" s="35" t="s">
        <v>256</v>
      </c>
      <c r="C136" s="30">
        <v>3944.1174502410286</v>
      </c>
      <c r="D136" s="30">
        <v>6335.6433171740882</v>
      </c>
      <c r="E136" s="30">
        <v>10239.019929715665</v>
      </c>
      <c r="F136" s="70">
        <v>6715.4679802955661</v>
      </c>
      <c r="G136" s="206"/>
      <c r="H136" s="206"/>
      <c r="I136" s="206"/>
      <c r="J136" s="206"/>
      <c r="K136" s="206"/>
      <c r="L136" s="206"/>
      <c r="M136" s="206"/>
      <c r="N136" s="206"/>
      <c r="O136" s="206"/>
    </row>
    <row r="137" spans="1:15" ht="18" customHeight="1">
      <c r="A137" s="188"/>
      <c r="B137" s="35" t="s">
        <v>257</v>
      </c>
      <c r="C137" s="30">
        <v>73.332115173339844</v>
      </c>
      <c r="D137" s="30">
        <v>91.728782028756257</v>
      </c>
      <c r="E137" s="30">
        <v>117.98237609863281</v>
      </c>
      <c r="F137" s="70">
        <v>96.376106262207031</v>
      </c>
      <c r="G137" s="206"/>
      <c r="H137" s="206"/>
      <c r="I137" s="206"/>
      <c r="J137" s="206"/>
      <c r="K137" s="206"/>
      <c r="L137" s="206"/>
      <c r="M137" s="206"/>
      <c r="N137" s="206"/>
      <c r="O137" s="206"/>
    </row>
    <row r="138" spans="1:15" ht="18" customHeight="1">
      <c r="A138" s="188"/>
      <c r="B138" s="35" t="s">
        <v>258</v>
      </c>
      <c r="C138" s="30">
        <f ca="1">38.4841123649616*OFFSET($L$112,MATCH($N$1,$C$112:$C$113,0)-1,0)</f>
        <v>38.484112364961597</v>
      </c>
      <c r="D138" s="30">
        <f ca="1">48.2356996829667*OFFSET($L$112,MATCH($N$1,$C$112:$C$113,0)-1,0)</f>
        <v>48.235699682966697</v>
      </c>
      <c r="E138" s="30">
        <f ca="1">61.9579347470425*OFFSET($L$112,MATCH($N$1,$C$112:$C$113,0)-1,0)</f>
        <v>61.957934747042501</v>
      </c>
      <c r="F138" s="70">
        <f ca="1">50.6383887741593*OFFSET($L$112,MATCH($N$1,$C$112:$C$113,0)-1,0)</f>
        <v>50.638388774159303</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121.242591189209*OFFSET($L$112,MATCH($N$1,$C$112:$C$113,0)-1,0)</f>
        <v>121.24259118920899</v>
      </c>
      <c r="D139" s="30">
        <f ca="1">242.168626530128*OFFSET($L$112,MATCH($N$1,$C$112:$C$113,0)-1,0)</f>
        <v>242.16862653012799</v>
      </c>
      <c r="E139" s="30">
        <f ca="1">545.048491040128*OFFSET($L$112,MATCH($N$1,$C$112:$C$113,0)-1,0)</f>
        <v>545.04849104012806</v>
      </c>
      <c r="F139" s="70">
        <f ca="1">259.213266125182*OFFSET($L$112,MATCH($N$1,$C$112:$C$113,0)-1,0)</f>
        <v>259.21326612518197</v>
      </c>
      <c r="G139" s="206"/>
      <c r="H139" s="206"/>
      <c r="I139" s="46"/>
      <c r="J139" s="206"/>
      <c r="K139" s="71" t="s">
        <v>260</v>
      </c>
      <c r="L139" s="72">
        <f t="shared" ref="L139:M141" ca="1" si="2">C140</f>
        <v>67.642343749999995</v>
      </c>
      <c r="M139" s="72">
        <f t="shared" ca="1" si="2"/>
        <v>39.404881072091598</v>
      </c>
      <c r="N139" s="72">
        <f ca="1">E140</f>
        <v>29.463320312499999</v>
      </c>
      <c r="O139" s="72"/>
    </row>
    <row r="140" spans="1:15" ht="18" customHeight="1">
      <c r="A140" s="166" t="s">
        <v>261</v>
      </c>
      <c r="B140" s="33" t="s">
        <v>262</v>
      </c>
      <c r="C140" s="73">
        <f ca="1">67.64234375*OFFSET($L$112,MATCH($N$1,$C$112:$C$113,0)-1,0)</f>
        <v>67.642343749999995</v>
      </c>
      <c r="D140" s="73">
        <f ca="1">39.4048810720916*OFFSET($L$112,MATCH($N$1,$C$112:$C$113,0)-1,0)</f>
        <v>39.404881072091598</v>
      </c>
      <c r="E140" s="73">
        <f ca="1">29.4633203125*OFFSET($L$112,MATCH($N$1,$C$112:$C$113,0)-1,0)</f>
        <v>29.463320312499999</v>
      </c>
      <c r="F140" s="74">
        <f ca="1">44.001390625*OFFSET($L$112,MATCH($N$1,$C$112:$C$113,0)-1,0)</f>
        <v>44.001390624999999</v>
      </c>
      <c r="G140" s="206"/>
      <c r="H140" s="206"/>
      <c r="I140" s="46"/>
      <c r="J140" s="206"/>
      <c r="K140" s="71" t="s">
        <v>263</v>
      </c>
      <c r="L140" s="72">
        <f t="shared" ca="1" si="2"/>
        <v>39.766855468750002</v>
      </c>
      <c r="M140" s="72">
        <f t="shared" ca="1" si="2"/>
        <v>25.291907835705398</v>
      </c>
      <c r="N140" s="72">
        <f ca="1">E141</f>
        <v>21.796857421875</v>
      </c>
      <c r="O140" s="72"/>
    </row>
    <row r="141" spans="1:15" ht="18" customHeight="1">
      <c r="A141" s="167"/>
      <c r="B141" s="35" t="s">
        <v>264</v>
      </c>
      <c r="C141" s="30">
        <f ca="1">39.76685546875*OFFSET($L$112,MATCH($N$1,$C$112:$C$113,0)-1,0)</f>
        <v>39.766855468750002</v>
      </c>
      <c r="D141" s="30">
        <f ca="1">25.2919078357054*OFFSET($L$112,MATCH($N$1,$C$112:$C$113,0)-1,0)</f>
        <v>25.291907835705398</v>
      </c>
      <c r="E141" s="30">
        <f ca="1">21.796857421875*OFFSET($L$112,MATCH($N$1,$C$112:$C$113,0)-1,0)</f>
        <v>21.796857421875</v>
      </c>
      <c r="F141" s="70">
        <f ca="1">28.050404296875*OFFSET($L$112,MATCH($N$1,$C$112:$C$113,0)-1,0)</f>
        <v>28.050404296875001</v>
      </c>
      <c r="G141" s="206"/>
      <c r="H141" s="206"/>
      <c r="I141" s="46"/>
      <c r="J141" s="206"/>
      <c r="K141" s="71" t="s">
        <v>265</v>
      </c>
      <c r="L141" s="72">
        <f t="shared" ca="1" si="2"/>
        <v>27.87548828125</v>
      </c>
      <c r="M141" s="72">
        <f t="shared" ca="1" si="2"/>
        <v>14.1129732363861</v>
      </c>
      <c r="N141" s="72">
        <f ca="1">E142</f>
        <v>7.6664628906249996</v>
      </c>
      <c r="O141" s="72"/>
    </row>
    <row r="142" spans="1:15" ht="18" customHeight="1">
      <c r="A142" s="168"/>
      <c r="B142" s="37" t="s">
        <v>266</v>
      </c>
      <c r="C142" s="38">
        <f ca="1">27.87548828125*OFFSET($L$112,MATCH($N$1,$C$112:$C$113,0)-1,0)</f>
        <v>27.87548828125</v>
      </c>
      <c r="D142" s="38">
        <f ca="1">14.1129732363861*OFFSET($L$112,MATCH($N$1,$C$112:$C$113,0)-1,0)</f>
        <v>14.1129732363861</v>
      </c>
      <c r="E142" s="38">
        <f ca="1">7.666462890625*OFFSET($L$112,MATCH($N$1,$C$112:$C$113,0)-1,0)</f>
        <v>7.6664628906249996</v>
      </c>
      <c r="F142" s="63">
        <f ca="1">15.950984375*OFFSET($L$112,MATCH($N$1,$C$112:$C$113,0)-1,0)</f>
        <v>15.950984375000001</v>
      </c>
      <c r="G142" s="206"/>
      <c r="H142" s="206"/>
      <c r="I142" s="46"/>
      <c r="J142" s="206"/>
      <c r="K142" s="71" t="s">
        <v>267</v>
      </c>
      <c r="L142" s="75">
        <f ca="1">IFERROR(L140/L$139,"")</f>
        <v>0.58789884063930009</v>
      </c>
      <c r="M142" s="75">
        <f t="shared" ref="M142:N143" ca="1" si="3">IFERROR(M140/M$139,"")</f>
        <v>0.6418470795390453</v>
      </c>
      <c r="N142" s="75">
        <f t="shared" ca="1" si="3"/>
        <v>0.73979637022197886</v>
      </c>
      <c r="O142" s="75"/>
    </row>
    <row r="143" spans="1:15" ht="18" customHeight="1">
      <c r="A143" s="206"/>
      <c r="B143" s="206"/>
      <c r="C143" s="206"/>
      <c r="D143" s="206"/>
      <c r="E143" s="206"/>
      <c r="F143" s="206"/>
      <c r="G143" s="206"/>
      <c r="H143" s="206"/>
      <c r="I143" s="46"/>
      <c r="J143" s="206"/>
      <c r="K143" s="71" t="s">
        <v>268</v>
      </c>
      <c r="L143" s="75">
        <f ca="1">IFERROR(L141/L$139,"")</f>
        <v>0.41210115936070002</v>
      </c>
      <c r="M143" s="75">
        <f t="shared" ca="1" si="3"/>
        <v>0.35815292046095215</v>
      </c>
      <c r="N143" s="75">
        <f t="shared" ca="1" si="3"/>
        <v>0.26020362977802114</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10</v>
      </c>
      <c r="B161" s="51"/>
      <c r="C161" s="76" t="s">
        <v>249</v>
      </c>
      <c r="D161" s="76" t="s">
        <v>270</v>
      </c>
      <c r="E161" s="76" t="s">
        <v>251</v>
      </c>
      <c r="F161" s="76" t="s">
        <v>271</v>
      </c>
      <c r="G161" s="77">
        <v>10</v>
      </c>
      <c r="H161" s="76"/>
      <c r="I161" s="76" t="s">
        <v>249</v>
      </c>
      <c r="J161" s="76" t="s">
        <v>270</v>
      </c>
      <c r="K161" s="76" t="s">
        <v>251</v>
      </c>
      <c r="L161" s="51" t="s">
        <v>271</v>
      </c>
      <c r="R161" s="206"/>
      <c r="S161" s="206"/>
    </row>
    <row r="162" spans="1:19" s="46" customFormat="1">
      <c r="A162" s="47">
        <v>1</v>
      </c>
      <c r="B162" s="51" t="s">
        <v>378</v>
      </c>
      <c r="C162" s="51">
        <v>5.4237614167478909E-2</v>
      </c>
      <c r="D162" s="51">
        <v>0.37621102523594546</v>
      </c>
      <c r="E162" s="51">
        <v>0.13830902183134139</v>
      </c>
      <c r="F162" s="47">
        <v>1692097</v>
      </c>
      <c r="G162" s="47">
        <v>1</v>
      </c>
      <c r="H162" s="51" t="s">
        <v>171</v>
      </c>
      <c r="I162" s="51">
        <v>0.25644326760586528</v>
      </c>
      <c r="J162" s="51">
        <v>0.29230943439816032</v>
      </c>
      <c r="K162" s="51">
        <v>0.33562841192507498</v>
      </c>
      <c r="L162" s="47">
        <v>12153634</v>
      </c>
      <c r="R162" s="206"/>
      <c r="S162" s="206"/>
    </row>
    <row r="163" spans="1:19" s="46" customFormat="1">
      <c r="A163" s="47">
        <v>2</v>
      </c>
      <c r="B163" s="51" t="s">
        <v>168</v>
      </c>
      <c r="C163" s="51">
        <v>0</v>
      </c>
      <c r="D163" s="51">
        <v>0.11913443907457509</v>
      </c>
      <c r="E163" s="51">
        <v>0.11226504579742523</v>
      </c>
      <c r="F163" s="47">
        <v>2480382</v>
      </c>
      <c r="G163" s="47">
        <v>2</v>
      </c>
      <c r="H163" s="51" t="s">
        <v>378</v>
      </c>
      <c r="I163" s="51">
        <v>0</v>
      </c>
      <c r="J163" s="51">
        <v>0.17834070982072978</v>
      </c>
      <c r="K163" s="51">
        <v>6.9006099604084256E-2</v>
      </c>
      <c r="L163" s="47">
        <v>1692097</v>
      </c>
      <c r="N163" s="46" t="s">
        <v>272</v>
      </c>
      <c r="R163" s="206"/>
      <c r="S163" s="206"/>
    </row>
    <row r="164" spans="1:19" s="46" customFormat="1">
      <c r="A164" s="47">
        <v>3</v>
      </c>
      <c r="B164" s="51" t="s">
        <v>244</v>
      </c>
      <c r="C164" s="51">
        <v>0</v>
      </c>
      <c r="D164" s="51">
        <v>8.7802943181582452E-2</v>
      </c>
      <c r="E164" s="51">
        <v>0.15262921669861845</v>
      </c>
      <c r="F164" s="47">
        <v>7434864</v>
      </c>
      <c r="G164" s="47">
        <v>3</v>
      </c>
      <c r="H164" s="51" t="s">
        <v>361</v>
      </c>
      <c r="I164" s="51">
        <v>0.128623998493582</v>
      </c>
      <c r="J164" s="51">
        <v>0.11811812739736663</v>
      </c>
      <c r="K164" s="51">
        <v>0.11275529118238466</v>
      </c>
      <c r="L164" s="47">
        <v>553960</v>
      </c>
      <c r="N164" s="46" t="s">
        <v>273</v>
      </c>
      <c r="R164" s="206"/>
      <c r="S164" s="206"/>
    </row>
    <row r="165" spans="1:19" s="46" customFormat="1">
      <c r="A165" s="47">
        <v>4</v>
      </c>
      <c r="B165" s="51" t="s">
        <v>242</v>
      </c>
      <c r="C165" s="51">
        <v>0.17670384411982104</v>
      </c>
      <c r="D165" s="51">
        <v>8.2916808908496939E-2</v>
      </c>
      <c r="E165" s="51">
        <v>0</v>
      </c>
      <c r="F165" s="47">
        <v>3050596</v>
      </c>
      <c r="G165" s="47">
        <v>4</v>
      </c>
      <c r="H165" s="51" t="s">
        <v>242</v>
      </c>
      <c r="I165" s="51">
        <v>0.13026543031449717</v>
      </c>
      <c r="J165" s="51">
        <v>9.1834301617662067E-2</v>
      </c>
      <c r="K165" s="51">
        <v>0</v>
      </c>
      <c r="L165" s="47">
        <v>3050596</v>
      </c>
      <c r="R165" s="206"/>
      <c r="S165" s="206"/>
    </row>
    <row r="166" spans="1:19" s="46" customFormat="1">
      <c r="A166" s="47">
        <v>5</v>
      </c>
      <c r="B166" s="51" t="s">
        <v>171</v>
      </c>
      <c r="C166" s="51">
        <v>6.2099058233966643E-2</v>
      </c>
      <c r="D166" s="51">
        <v>7.4827982518903144E-2</v>
      </c>
      <c r="E166" s="51">
        <v>0.11088704541189295</v>
      </c>
      <c r="F166" s="47">
        <v>12153634</v>
      </c>
      <c r="G166" s="47">
        <v>5</v>
      </c>
      <c r="H166" s="51" t="s">
        <v>168</v>
      </c>
      <c r="I166" s="51">
        <v>0</v>
      </c>
      <c r="J166" s="51">
        <v>7.0675662982762885E-2</v>
      </c>
      <c r="K166" s="51">
        <v>6.4338195610022991E-2</v>
      </c>
      <c r="L166" s="47">
        <v>2480382</v>
      </c>
      <c r="R166" s="206"/>
      <c r="S166" s="206"/>
    </row>
    <row r="167" spans="1:19" s="46" customFormat="1">
      <c r="A167" s="47">
        <v>6</v>
      </c>
      <c r="B167" s="51" t="s">
        <v>596</v>
      </c>
      <c r="C167" s="51">
        <v>0</v>
      </c>
      <c r="D167" s="51">
        <v>0</v>
      </c>
      <c r="E167" s="51">
        <v>5.8940191576059099E-2</v>
      </c>
      <c r="F167" s="47">
        <v>8497745</v>
      </c>
      <c r="G167" s="47">
        <v>6</v>
      </c>
      <c r="H167" s="51" t="s">
        <v>244</v>
      </c>
      <c r="I167" s="51">
        <v>0</v>
      </c>
      <c r="J167" s="51">
        <v>0</v>
      </c>
      <c r="K167" s="51">
        <v>6.1940505287826242E-2</v>
      </c>
      <c r="L167" s="47">
        <v>7434864</v>
      </c>
      <c r="R167" s="206"/>
      <c r="S167" s="206"/>
    </row>
    <row r="168" spans="1:19" s="46" customFormat="1">
      <c r="A168" s="47">
        <v>7</v>
      </c>
      <c r="B168" s="51" t="s">
        <v>342</v>
      </c>
      <c r="C168" s="51">
        <v>0.2094162337658696</v>
      </c>
      <c r="D168" s="51">
        <v>0</v>
      </c>
      <c r="E168" s="51">
        <v>0</v>
      </c>
      <c r="F168" s="47">
        <v>11115023</v>
      </c>
      <c r="G168" s="47">
        <v>7</v>
      </c>
      <c r="H168" s="51" t="s">
        <v>286</v>
      </c>
      <c r="I168" s="51">
        <v>7.6986353657702067E-2</v>
      </c>
      <c r="J168" s="51">
        <v>0</v>
      </c>
      <c r="K168" s="51">
        <v>0</v>
      </c>
      <c r="L168" s="47">
        <v>3689192</v>
      </c>
      <c r="R168" s="206"/>
      <c r="S168" s="206"/>
    </row>
    <row r="169" spans="1:19" s="46" customFormat="1">
      <c r="A169" s="47">
        <v>8</v>
      </c>
      <c r="B169" s="51" t="s">
        <v>170</v>
      </c>
      <c r="C169" s="51">
        <v>8.8040889987583609E-2</v>
      </c>
      <c r="D169" s="51">
        <v>0</v>
      </c>
      <c r="E169" s="51">
        <v>0</v>
      </c>
      <c r="F169" s="47">
        <v>14393110</v>
      </c>
      <c r="G169" s="47">
        <v>8</v>
      </c>
      <c r="H169" s="51" t="s">
        <v>170</v>
      </c>
      <c r="I169" s="51">
        <v>5.6686587814671389E-2</v>
      </c>
      <c r="J169" s="51">
        <v>0</v>
      </c>
      <c r="K169" s="51">
        <v>0</v>
      </c>
      <c r="L169" s="47">
        <v>14393110</v>
      </c>
      <c r="R169" s="206"/>
      <c r="S169" s="206"/>
    </row>
    <row r="170" spans="1:19" s="46" customFormat="1">
      <c r="A170" s="47">
        <v>9</v>
      </c>
      <c r="B170" s="51" t="s">
        <v>245</v>
      </c>
      <c r="C170" s="51">
        <v>0.40950235972528026</v>
      </c>
      <c r="D170" s="51">
        <v>0.25910680108049688</v>
      </c>
      <c r="E170" s="51">
        <v>0.42696947868466284</v>
      </c>
      <c r="F170" s="47">
        <v>5920853</v>
      </c>
      <c r="G170" s="47">
        <v>9</v>
      </c>
      <c r="H170" s="51" t="s">
        <v>245</v>
      </c>
      <c r="I170" s="51">
        <v>0.35099436211368218</v>
      </c>
      <c r="J170" s="51">
        <v>0.24872176378331845</v>
      </c>
      <c r="K170" s="51">
        <v>0.35633149639060691</v>
      </c>
      <c r="L170" s="47">
        <v>5920853</v>
      </c>
      <c r="R170" s="206"/>
      <c r="S170" s="206"/>
    </row>
    <row r="171" spans="1:19" s="46" customFormat="1">
      <c r="A171" s="47">
        <v>10</v>
      </c>
      <c r="B171" s="51"/>
      <c r="C171" s="51">
        <v>0</v>
      </c>
      <c r="D171" s="51">
        <v>0</v>
      </c>
      <c r="E171" s="51">
        <v>0</v>
      </c>
      <c r="F171" s="47"/>
      <c r="G171" s="47">
        <v>10</v>
      </c>
      <c r="H171" s="51"/>
      <c r="I171" s="51">
        <v>0</v>
      </c>
      <c r="J171" s="51">
        <v>0</v>
      </c>
      <c r="K171" s="51">
        <v>0</v>
      </c>
      <c r="L171" s="47"/>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77567CF0-BC1D-4CC4-9B84-A87CBF633C6E}">
      <formula1>$C$112:$C$113</formula1>
    </dataValidation>
  </dataValidations>
  <hyperlinks>
    <hyperlink ref="O1:P1" location="Home_page" display="Back to home page" xr:uid="{A8A588BB-6F7B-499D-886D-2BA1EBE8D552}"/>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B4869CBE-B977-4174-8D0C-B4D995E969B0}">
          <x14:colorSeries rgb="FF323232"/>
          <x14:colorNegative rgb="FFD00000"/>
          <x14:colorAxis rgb="FF000000"/>
          <x14:colorMarkers rgb="FFD00000"/>
          <x14:colorFirst rgb="FFD00000"/>
          <x14:colorLast rgb="FFD00000"/>
          <x14:colorHigh rgb="FFD00000"/>
          <x14:colorLow rgb="FFD00000"/>
          <x14:sparklines>
            <x14:sparkline>
              <xm:f>'U10m drift-fixed nets'!D3:N3</xm:f>
              <xm:sqref>C3</xm:sqref>
            </x14:sparkline>
            <x14:sparkline>
              <xm:f>'U10m drift-fixed nets'!D4:N4</xm:f>
              <xm:sqref>C4</xm:sqref>
            </x14:sparkline>
            <x14:sparkline>
              <xm:f>'U10m drift-fixed nets'!D5:N5</xm:f>
              <xm:sqref>C5</xm:sqref>
            </x14:sparkline>
            <x14:sparkline>
              <xm:f>'U10m drift-fixed nets'!D6:N6</xm:f>
              <xm:sqref>C6</xm:sqref>
            </x14:sparkline>
            <x14:sparkline>
              <xm:f>'U10m drift-fixed nets'!D7:N7</xm:f>
              <xm:sqref>C7</xm:sqref>
            </x14:sparkline>
            <x14:sparkline>
              <xm:f>'U10m drift-fixed nets'!D8:N8</xm:f>
              <xm:sqref>C8</xm:sqref>
            </x14:sparkline>
            <x14:sparkline>
              <xm:f>'U10m drift-fixed nets'!D9:N9</xm:f>
              <xm:sqref>C9</xm:sqref>
            </x14:sparkline>
            <x14:sparkline>
              <xm:f>'U10m drift-fixed nets'!D10:N10</xm:f>
              <xm:sqref>C10</xm:sqref>
            </x14:sparkline>
            <x14:sparkline>
              <xm:f>'U10m drift-fixed nets'!D11:N11</xm:f>
              <xm:sqref>C11</xm:sqref>
            </x14:sparkline>
            <x14:sparkline>
              <xm:f>'U10m drift-fixed nets'!D12:N12</xm:f>
              <xm:sqref>C12</xm:sqref>
            </x14:sparkline>
            <x14:sparkline>
              <xm:f>'U10m drift-fixed nets'!D13:N13</xm:f>
              <xm:sqref>C13</xm:sqref>
            </x14:sparkline>
            <x14:sparkline>
              <xm:f>'U10m drift-fixed nets'!D14:N14</xm:f>
              <xm:sqref>C14</xm:sqref>
            </x14:sparkline>
            <x14:sparkline>
              <xm:f>'U10m drift-fixed nets'!D15:N15</xm:f>
              <xm:sqref>C15</xm:sqref>
            </x14:sparkline>
            <x14:sparkline>
              <xm:f>'U10m drift-fixed nets'!D16:N16</xm:f>
              <xm:sqref>C16</xm:sqref>
            </x14:sparkline>
            <x14:sparkline>
              <xm:f>'U10m drift-fixed nets'!D17:N17</xm:f>
              <xm:sqref>C17</xm:sqref>
            </x14:sparkline>
            <x14:sparkline>
              <xm:f>'U10m drift-fixed nets'!D18:N18</xm:f>
              <xm:sqref>C18</xm:sqref>
            </x14:sparkline>
            <x14:sparkline>
              <xm:f>'U10m drift-fixed nets'!D19:N19</xm:f>
              <xm:sqref>C19</xm:sqref>
            </x14:sparkline>
            <x14:sparkline>
              <xm:f>'U10m drift-fixed nets'!D20:N20</xm:f>
              <xm:sqref>C20</xm:sqref>
            </x14:sparkline>
            <x14:sparkline>
              <xm:f>'U10m drift-fixed nets'!D21:N21</xm:f>
              <xm:sqref>C21</xm:sqref>
            </x14:sparkline>
            <x14:sparkline>
              <xm:f>'U10m drift-fixed nets'!D22:N22</xm:f>
              <xm:sqref>C22</xm:sqref>
            </x14:sparkline>
            <x14:sparkline>
              <xm:f>'U10m drift-fixed nets'!D23:N23</xm:f>
              <xm:sqref>C23</xm:sqref>
            </x14:sparkline>
            <x14:sparkline>
              <xm:f>'U10m drift-fixed nets'!D24:N24</xm:f>
              <xm:sqref>C24</xm:sqref>
            </x14:sparkline>
            <x14:sparkline>
              <xm:f>'U10m drift-fixed nets'!D25:N25</xm:f>
              <xm:sqref>C25</xm:sqref>
            </x14:sparkline>
            <x14:sparkline>
              <xm:f>'U10m drift-fixed nets'!D26:N26</xm:f>
              <xm:sqref>C26</xm:sqref>
            </x14:sparkline>
            <x14:sparkline>
              <xm:f>'U10m drift-fixed nets'!D27:N27</xm:f>
              <xm:sqref>C27</xm:sqref>
            </x14:sparkline>
            <x14:sparkline>
              <xm:f>'U10m drift-fixed nets'!D28:N28</xm:f>
              <xm:sqref>C28</xm:sqref>
            </x14:sparkline>
            <x14:sparkline>
              <xm:f>'U10m drift-fixed nets'!D29:N29</xm:f>
              <xm:sqref>C29</xm:sqref>
            </x14:sparkline>
            <x14:sparkline>
              <xm:f>'U10m drift-fixed nets'!D30:N30</xm:f>
              <xm:sqref>C30</xm:sqref>
            </x14:sparkline>
            <x14:sparkline>
              <xm:f>'U10m drift-fixed nets'!D31:N31</xm:f>
              <xm:sqref>C31</xm:sqref>
            </x14:sparkline>
            <x14:sparkline>
              <xm:f>'U10m drift-fixed nets'!D32:N32</xm:f>
              <xm:sqref>C32</xm:sqref>
            </x14:sparkline>
            <x14:sparkline>
              <xm:f>'U10m drift-fixed nets'!D33:N33</xm:f>
              <xm:sqref>C33</xm:sqref>
            </x14:sparkline>
            <x14:sparkline>
              <xm:f>'U10m drift-fixed nets'!D34:N34</xm:f>
              <xm:sqref>C34</xm:sqref>
            </x14:sparkline>
            <x14:sparkline>
              <xm:f>'U10m drift-fixed nets'!D35:N35</xm:f>
              <xm:sqref>C35</xm:sqref>
            </x14:sparkline>
            <x14:sparkline>
              <xm:f>'U10m drift-fixed nets'!D36:N36</xm:f>
              <xm:sqref>C36</xm:sqref>
            </x14:sparkline>
            <x14:sparkline>
              <xm:f>'U10m drift-fixed nets'!D37:N37</xm:f>
              <xm:sqref>C37</xm:sqref>
            </x14:sparkline>
            <x14:sparkline>
              <xm:f>'U10m drift-fixed nets'!D38:N38</xm:f>
              <xm:sqref>C38</xm:sqref>
            </x14:sparkline>
            <x14:sparkline>
              <xm:f>'U10m drift-fixed nets'!D39:N39</xm:f>
              <xm:sqref>C39</xm:sqref>
            </x14:sparkline>
            <x14:sparkline>
              <xm:f>'U10m drift-fixed nets'!D40:N40</xm:f>
              <xm:sqref>C40</xm:sqref>
            </x14:sparkline>
            <x14:sparkline>
              <xm:f>'U10m drift-fixed nets'!D41:N41</xm:f>
              <xm:sqref>C41</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30042-7CFE-49BE-B3FA-03910F3851A4}">
  <sheetPr codeName="Feuil35">
    <pageSetUpPr fitToPage="1"/>
  </sheetPr>
  <dimension ref="A1:S192"/>
  <sheetViews>
    <sheetView topLeftCell="A40"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37</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1007</v>
      </c>
      <c r="E3" s="27">
        <v>1086</v>
      </c>
      <c r="F3" s="27">
        <v>1079</v>
      </c>
      <c r="G3" s="27">
        <v>1001</v>
      </c>
      <c r="H3" s="27">
        <v>1042</v>
      </c>
      <c r="I3" s="27">
        <v>1011</v>
      </c>
      <c r="J3" s="27">
        <v>1087</v>
      </c>
      <c r="K3" s="27">
        <v>1176</v>
      </c>
      <c r="L3" s="27">
        <v>1201</v>
      </c>
      <c r="M3" s="27">
        <v>1220</v>
      </c>
      <c r="N3" s="27">
        <v>1081</v>
      </c>
      <c r="O3" s="28">
        <f t="shared" ref="O3:O41" si="0">IF(N3=0,"",IFERROR(IF(AND(N3&gt;0,D3&lt;0),"na",IF(AND(N3&lt;0,D3&lt;0),-1,1)*(N3-D3)/D3),""))</f>
        <v>7.3485600794438929E-2</v>
      </c>
      <c r="P3" s="28">
        <f t="shared" ref="P3:P41" si="1">IF(N3=0,"",IFERROR(IF(AND(N3&gt;0,J3&lt;0),"na",IF(AND(N3&lt;0,J3&lt;0),-1,1)*(N3-J3)/J3),""))</f>
        <v>-5.5197792088316471E-3</v>
      </c>
      <c r="Q3" s="206"/>
    </row>
    <row r="4" spans="1:17" ht="18" customHeight="1">
      <c r="A4" s="172"/>
      <c r="B4" s="29" t="s">
        <v>184</v>
      </c>
      <c r="C4" s="30"/>
      <c r="D4" s="30">
        <v>76451</v>
      </c>
      <c r="E4" s="30">
        <v>81613</v>
      </c>
      <c r="F4" s="30">
        <v>81949</v>
      </c>
      <c r="G4" s="30">
        <v>79574</v>
      </c>
      <c r="H4" s="30">
        <v>81486</v>
      </c>
      <c r="I4" s="30">
        <v>79609</v>
      </c>
      <c r="J4" s="30">
        <v>84721</v>
      </c>
      <c r="K4" s="30">
        <v>90410</v>
      </c>
      <c r="L4" s="30">
        <v>93352</v>
      </c>
      <c r="M4" s="30">
        <v>95218</v>
      </c>
      <c r="N4" s="30">
        <v>89106</v>
      </c>
      <c r="O4" s="28">
        <f t="shared" si="0"/>
        <v>0.165530862905652</v>
      </c>
      <c r="P4" s="28">
        <f t="shared" si="1"/>
        <v>5.1758123723752082E-2</v>
      </c>
      <c r="Q4" s="206"/>
    </row>
    <row r="5" spans="1:17" ht="18" customHeight="1">
      <c r="A5" s="172"/>
      <c r="B5" s="29" t="s">
        <v>185</v>
      </c>
      <c r="C5" s="30"/>
      <c r="D5" s="30">
        <v>4499.72021484375</v>
      </c>
      <c r="E5" s="30">
        <v>4736.60986328125</v>
      </c>
      <c r="F5" s="30">
        <v>4729.68017578125</v>
      </c>
      <c r="G5" s="30">
        <v>4653.35986328125</v>
      </c>
      <c r="H5" s="30">
        <v>4687.240234375</v>
      </c>
      <c r="I5" s="30">
        <v>4585.5400390625</v>
      </c>
      <c r="J5" s="30">
        <v>4884.75</v>
      </c>
      <c r="K5" s="30">
        <v>5169.27001953125</v>
      </c>
      <c r="L5" s="30">
        <v>5355.009765625</v>
      </c>
      <c r="M5" s="30">
        <v>5545.56005859375</v>
      </c>
      <c r="N5" s="30">
        <v>5138.31005859375</v>
      </c>
      <c r="O5" s="28">
        <f t="shared" si="0"/>
        <v>0.14191767782436995</v>
      </c>
      <c r="P5" s="28">
        <f t="shared" si="1"/>
        <v>5.1908502706126208E-2</v>
      </c>
      <c r="Q5" s="207"/>
    </row>
    <row r="6" spans="1:17" ht="18" customHeight="1">
      <c r="A6" s="172"/>
      <c r="B6" s="29" t="s">
        <v>186</v>
      </c>
      <c r="C6" s="30"/>
      <c r="D6" s="30">
        <v>59608.93359375</v>
      </c>
      <c r="E6" s="30">
        <v>63598.34765625</v>
      </c>
      <c r="F6" s="30">
        <v>63786.16796875</v>
      </c>
      <c r="G6" s="30">
        <v>61858.66796875</v>
      </c>
      <c r="H6" s="30">
        <v>63153.390625</v>
      </c>
      <c r="I6" s="30">
        <v>61891.3203125</v>
      </c>
      <c r="J6" s="30">
        <v>65893.4921875</v>
      </c>
      <c r="K6" s="30">
        <v>70777.40625</v>
      </c>
      <c r="L6" s="30">
        <v>72774.1328125</v>
      </c>
      <c r="M6" s="30">
        <v>74411.1015625</v>
      </c>
      <c r="N6" s="30">
        <v>69083.453125</v>
      </c>
      <c r="O6" s="28">
        <f t="shared" si="0"/>
        <v>0.1589446239018677</v>
      </c>
      <c r="P6" s="28">
        <f t="shared" si="1"/>
        <v>4.8410864739464148E-2</v>
      </c>
      <c r="Q6" s="206"/>
    </row>
    <row r="7" spans="1:17" ht="18" customHeight="1">
      <c r="A7" s="172"/>
      <c r="B7" s="29" t="s">
        <v>187</v>
      </c>
      <c r="C7" s="30"/>
      <c r="D7" s="30">
        <v>21210.484375</v>
      </c>
      <c r="E7" s="30">
        <v>21931.76171875</v>
      </c>
      <c r="F7" s="30">
        <v>25606.71875</v>
      </c>
      <c r="G7" s="30">
        <v>26620.455078125</v>
      </c>
      <c r="H7" s="30">
        <v>26474.5546875</v>
      </c>
      <c r="I7" s="30">
        <v>24564.638671875</v>
      </c>
      <c r="J7" s="30">
        <v>27451.046875</v>
      </c>
      <c r="K7" s="30">
        <v>27438.73828125</v>
      </c>
      <c r="L7" s="30">
        <v>23294.025390625</v>
      </c>
      <c r="M7" s="30">
        <v>25540.306640625</v>
      </c>
      <c r="N7" s="30">
        <v>21202.494140625</v>
      </c>
      <c r="O7" s="28">
        <f t="shared" si="0"/>
        <v>-3.7671154669234185E-4</v>
      </c>
      <c r="P7" s="28">
        <f t="shared" si="1"/>
        <v>-0.2276252983293556</v>
      </c>
      <c r="Q7" s="206"/>
    </row>
    <row r="8" spans="1:17" ht="18" customHeight="1">
      <c r="A8" s="172"/>
      <c r="B8" s="29" t="s">
        <v>188</v>
      </c>
      <c r="C8" s="31"/>
      <c r="D8" s="31">
        <f ca="1">58.61128*OFFSET(D$112,MATCH($N$1,$C$112:$C$113,0)-1,0)</f>
        <v>58.611280000000001</v>
      </c>
      <c r="E8" s="31">
        <f ca="1">63.873768*OFFSET(E$112,MATCH($N$1,$C$112:$C$113,0)-1,0)</f>
        <v>63.873767999999998</v>
      </c>
      <c r="F8" s="31">
        <f ca="1">64.220248*OFFSET(F$112,MATCH($N$1,$C$112:$C$113,0)-1,0)</f>
        <v>64.220247999999998</v>
      </c>
      <c r="G8" s="31">
        <f ca="1">61.774844*OFFSET(G$112,MATCH($N$1,$C$112:$C$113,0)-1,0)</f>
        <v>61.774844000000002</v>
      </c>
      <c r="H8" s="31">
        <f ca="1">65.533856*OFFSET(H$112,MATCH($N$1,$C$112:$C$113,0)-1,0)</f>
        <v>65.533856</v>
      </c>
      <c r="I8" s="31">
        <f ca="1">60.830172*OFFSET(I$112,MATCH($N$1,$C$112:$C$113,0)-1,0)</f>
        <v>60.830171999999997</v>
      </c>
      <c r="J8" s="31">
        <f ca="1">75.666056*OFFSET(J$112,MATCH($N$1,$C$112:$C$113,0)-1,0)</f>
        <v>75.666055999999998</v>
      </c>
      <c r="K8" s="31">
        <f ca="1">81.954896*OFFSET(K$112,MATCH($N$1,$C$112:$C$113,0)-1,0)</f>
        <v>81.954896000000005</v>
      </c>
      <c r="L8" s="31">
        <f ca="1">87.562496*OFFSET(L$112,MATCH($N$1,$C$112:$C$113,0)-1,0)</f>
        <v>87.562495999999996</v>
      </c>
      <c r="M8" s="31">
        <f ca="1">93.423896*OFFSET(M$112,MATCH($N$1,$C$112:$C$113,0)-1,0)</f>
        <v>93.423895999999999</v>
      </c>
      <c r="N8" s="31">
        <v>64.62375999999999</v>
      </c>
      <c r="O8" s="28">
        <f t="shared" ca="1" si="0"/>
        <v>0.10258230156379436</v>
      </c>
      <c r="P8" s="28">
        <f t="shared" ca="1" si="1"/>
        <v>-0.14593460507575559</v>
      </c>
      <c r="Q8" s="206"/>
    </row>
    <row r="9" spans="1:17" ht="18" customHeight="1">
      <c r="A9" s="172"/>
      <c r="B9" s="29" t="s">
        <v>189</v>
      </c>
      <c r="C9" s="30"/>
      <c r="D9" s="30">
        <v>114554</v>
      </c>
      <c r="E9" s="30">
        <v>119164</v>
      </c>
      <c r="F9" s="30">
        <v>118076</v>
      </c>
      <c r="G9" s="30">
        <v>111625</v>
      </c>
      <c r="H9" s="30">
        <v>131284</v>
      </c>
      <c r="I9" s="30">
        <v>137167</v>
      </c>
      <c r="J9" s="30">
        <v>135747</v>
      </c>
      <c r="K9" s="30">
        <v>102125</v>
      </c>
      <c r="L9" s="30">
        <v>101086</v>
      </c>
      <c r="M9" s="30">
        <v>104978</v>
      </c>
      <c r="N9" s="30">
        <v>82812</v>
      </c>
      <c r="O9" s="28">
        <f t="shared" si="0"/>
        <v>-0.27709202646786668</v>
      </c>
      <c r="P9" s="28">
        <f t="shared" si="1"/>
        <v>-0.38995336913522949</v>
      </c>
      <c r="Q9" s="206"/>
    </row>
    <row r="10" spans="1:17" ht="18" customHeight="1">
      <c r="A10" s="172"/>
      <c r="B10" s="29" t="s">
        <v>190</v>
      </c>
      <c r="C10" s="30"/>
      <c r="D10" s="30">
        <v>878.6199951171875</v>
      </c>
      <c r="E10" s="30">
        <v>924.03076171875</v>
      </c>
      <c r="F10" s="30">
        <v>957.65618896484375</v>
      </c>
      <c r="G10" s="30">
        <v>894.1151123046875</v>
      </c>
      <c r="H10" s="30">
        <v>994.25360107421875</v>
      </c>
      <c r="I10" s="30">
        <v>1073.6419677734375</v>
      </c>
      <c r="J10" s="30">
        <v>1130.4344482421875</v>
      </c>
      <c r="K10" s="30">
        <v>719.367919921875</v>
      </c>
      <c r="L10" s="30">
        <v>869.61236572265625</v>
      </c>
      <c r="M10" s="30">
        <v>669.320068359375</v>
      </c>
      <c r="N10" s="30">
        <v>542.77667236328125</v>
      </c>
      <c r="O10" s="32">
        <f t="shared" si="0"/>
        <v>-0.38223956274647786</v>
      </c>
      <c r="P10" s="32">
        <f t="shared" si="1"/>
        <v>-0.51985126319593966</v>
      </c>
      <c r="Q10" s="206"/>
    </row>
    <row r="11" spans="1:17" ht="18" customHeight="1">
      <c r="A11" s="173" t="s">
        <v>191</v>
      </c>
      <c r="B11" s="33" t="s">
        <v>192</v>
      </c>
      <c r="C11" s="34"/>
      <c r="D11" s="34">
        <v>7.9905757904052734</v>
      </c>
      <c r="E11" s="34">
        <v>7.9255709648132324</v>
      </c>
      <c r="F11" s="34">
        <v>7.965458869934082</v>
      </c>
      <c r="G11" s="34">
        <v>8.0795803070068359</v>
      </c>
      <c r="H11" s="34">
        <v>7.9956908226013184</v>
      </c>
      <c r="I11" s="34">
        <v>8.0191001892089844</v>
      </c>
      <c r="J11" s="34">
        <v>7.9733853340148926</v>
      </c>
      <c r="K11" s="34">
        <v>7.9334521293640137</v>
      </c>
      <c r="L11" s="34">
        <v>7.9382100105285645</v>
      </c>
      <c r="M11" s="34">
        <v>7.9902048110961914</v>
      </c>
      <c r="N11" s="34">
        <v>8.1068086624145508</v>
      </c>
      <c r="O11" s="28">
        <f t="shared" si="0"/>
        <v>1.4546244858705249E-2</v>
      </c>
      <c r="P11" s="28">
        <f t="shared" si="1"/>
        <v>1.6733585899889609E-2</v>
      </c>
      <c r="Q11" s="206"/>
    </row>
    <row r="12" spans="1:17" ht="18" customHeight="1">
      <c r="A12" s="174"/>
      <c r="B12" s="35" t="s">
        <v>184</v>
      </c>
      <c r="C12" s="30"/>
      <c r="D12" s="30">
        <v>75.919563293457031</v>
      </c>
      <c r="E12" s="30">
        <v>75.150093078613281</v>
      </c>
      <c r="F12" s="30">
        <v>75.949028015136719</v>
      </c>
      <c r="G12" s="30">
        <v>79.4945068359375</v>
      </c>
      <c r="H12" s="30">
        <v>78.2015380859375</v>
      </c>
      <c r="I12" s="30">
        <v>78.742828369140625</v>
      </c>
      <c r="J12" s="30">
        <v>77.940200805664063</v>
      </c>
      <c r="K12" s="30">
        <v>76.879249572753906</v>
      </c>
      <c r="L12" s="30">
        <v>77.728561401367188</v>
      </c>
      <c r="M12" s="30">
        <v>78.047538757324219</v>
      </c>
      <c r="N12" s="30">
        <v>82.429229736328125</v>
      </c>
      <c r="O12" s="28">
        <f t="shared" si="0"/>
        <v>8.574425563683552E-2</v>
      </c>
      <c r="P12" s="28">
        <f t="shared" si="1"/>
        <v>5.7595809149337429E-2</v>
      </c>
      <c r="Q12" s="206"/>
    </row>
    <row r="13" spans="1:17" ht="18" customHeight="1">
      <c r="A13" s="174"/>
      <c r="B13" s="35" t="s">
        <v>185</v>
      </c>
      <c r="C13" s="30"/>
      <c r="D13" s="30">
        <v>4.4684410095214844</v>
      </c>
      <c r="E13" s="30">
        <v>4.3615193367004395</v>
      </c>
      <c r="F13" s="30">
        <v>4.3833918571472168</v>
      </c>
      <c r="G13" s="30">
        <v>4.6487112045288086</v>
      </c>
      <c r="H13" s="30">
        <v>4.4983110427856445</v>
      </c>
      <c r="I13" s="30">
        <v>4.5401387214660645</v>
      </c>
      <c r="J13" s="30">
        <v>4.4979281425476074</v>
      </c>
      <c r="K13" s="30">
        <v>4.4031262397766113</v>
      </c>
      <c r="L13" s="30">
        <v>4.4662303924560547</v>
      </c>
      <c r="M13" s="30">
        <v>4.5567460060119629</v>
      </c>
      <c r="N13" s="30">
        <v>4.7621040344238281</v>
      </c>
      <c r="O13" s="28">
        <f t="shared" si="0"/>
        <v>6.5719346921353117E-2</v>
      </c>
      <c r="P13" s="28">
        <f t="shared" si="1"/>
        <v>5.8732795078978876E-2</v>
      </c>
      <c r="Q13" s="206"/>
    </row>
    <row r="14" spans="1:17" ht="18" customHeight="1">
      <c r="A14" s="174"/>
      <c r="B14" s="35" t="s">
        <v>186</v>
      </c>
      <c r="C14" s="30"/>
      <c r="D14" s="30">
        <v>59.194568634033203</v>
      </c>
      <c r="E14" s="30">
        <v>58.562015533447266</v>
      </c>
      <c r="F14" s="30">
        <v>59.116001129150391</v>
      </c>
      <c r="G14" s="30">
        <v>61.796871185302734</v>
      </c>
      <c r="H14" s="30">
        <v>60.607860565185547</v>
      </c>
      <c r="I14" s="30">
        <v>61.217922210693359</v>
      </c>
      <c r="J14" s="30">
        <v>60.619590759277344</v>
      </c>
      <c r="K14" s="30">
        <v>60.184871673583984</v>
      </c>
      <c r="L14" s="30">
        <v>60.594615936279297</v>
      </c>
      <c r="M14" s="30">
        <v>60.992706298828125</v>
      </c>
      <c r="N14" s="30">
        <v>63.906986236572266</v>
      </c>
      <c r="O14" s="28">
        <f t="shared" si="0"/>
        <v>7.9608952498214758E-2</v>
      </c>
      <c r="P14" s="28">
        <f t="shared" si="1"/>
        <v>5.4229918680073111E-2</v>
      </c>
      <c r="Q14" s="206"/>
    </row>
    <row r="15" spans="1:17" ht="18" customHeight="1">
      <c r="A15" s="174"/>
      <c r="B15" s="35" t="s">
        <v>187</v>
      </c>
      <c r="C15" s="31"/>
      <c r="D15" s="31">
        <v>21.063041687011719</v>
      </c>
      <c r="E15" s="31">
        <v>20.194992065429688</v>
      </c>
      <c r="F15" s="31">
        <v>23.731899261474609</v>
      </c>
      <c r="G15" s="31">
        <v>26.593862533569336</v>
      </c>
      <c r="H15" s="31">
        <v>25.407442092895508</v>
      </c>
      <c r="I15" s="31">
        <v>24.297369003295898</v>
      </c>
      <c r="J15" s="31">
        <v>25.25395393371582</v>
      </c>
      <c r="K15" s="31">
        <v>23.332260131835938</v>
      </c>
      <c r="L15" s="31">
        <v>19.395524978637695</v>
      </c>
      <c r="M15" s="31">
        <v>20.934677124023438</v>
      </c>
      <c r="N15" s="31">
        <v>19.613777160644531</v>
      </c>
      <c r="O15" s="28">
        <f t="shared" si="0"/>
        <v>-6.8806041781746069E-2</v>
      </c>
      <c r="P15" s="28">
        <f t="shared" si="1"/>
        <v>-0.22333836467252174</v>
      </c>
      <c r="Q15" s="206"/>
    </row>
    <row r="16" spans="1:17" ht="18" customHeight="1">
      <c r="A16" s="174"/>
      <c r="B16" s="35" t="s">
        <v>193</v>
      </c>
      <c r="C16" s="31"/>
      <c r="D16" s="31">
        <f ca="1">58.2038515625*OFFSET(D$112,MATCH($N$1,$C$112:$C$113,0)-1,0)</f>
        <v>58.203851562499999</v>
      </c>
      <c r="E16" s="31">
        <f ca="1">58.815625*OFFSET(E$112,MATCH($N$1,$C$112:$C$113,0)-1,0)</f>
        <v>58.815624999999997</v>
      </c>
      <c r="F16" s="31">
        <f ca="1">59.5183046875*OFFSET(F$112,MATCH($N$1,$C$112:$C$113,0)-1,0)</f>
        <v>59.518304687499999</v>
      </c>
      <c r="G16" s="31">
        <f ca="1">61.71312890625*OFFSET(G$112,MATCH($N$1,$C$112:$C$113,0)-1,0)</f>
        <v>61.713128906249999</v>
      </c>
      <c r="H16" s="31">
        <f ca="1">62.892375*OFFSET(H$112,MATCH($N$1,$C$112:$C$113,0)-1,0)</f>
        <v>62.892375000000001</v>
      </c>
      <c r="I16" s="31">
        <f ca="1">60.1683203125*OFFSET(I$112,MATCH($N$1,$C$112:$C$113,0)-1,0)</f>
        <v>60.168320312500001</v>
      </c>
      <c r="J16" s="31">
        <f ca="1">69.609984375*OFFSET(J$112,MATCH($N$1,$C$112:$C$113,0)-1,0)</f>
        <v>69.609984374999996</v>
      </c>
      <c r="K16" s="31">
        <f ca="1">69.6895390625*OFFSET(K$112,MATCH($N$1,$C$112:$C$113,0)-1,0)</f>
        <v>69.689539062500003</v>
      </c>
      <c r="L16" s="31">
        <f ca="1">72.9079921875*OFFSET(L$112,MATCH($N$1,$C$112:$C$113,0)-1,0)</f>
        <v>72.9079921875</v>
      </c>
      <c r="M16" s="31">
        <f ca="1">76.5769609375*OFFSET(M$112,MATCH($N$1,$C$112:$C$113,0)-1,0)</f>
        <v>76.576960937500004</v>
      </c>
      <c r="N16" s="31">
        <v>59.781464843750001</v>
      </c>
      <c r="O16" s="28">
        <f t="shared" ca="1" si="0"/>
        <v>2.7104963656158425E-2</v>
      </c>
      <c r="P16" s="28">
        <f t="shared" ca="1" si="1"/>
        <v>-0.14119410626932777</v>
      </c>
      <c r="Q16" s="206"/>
    </row>
    <row r="17" spans="1:16" ht="18" customHeight="1">
      <c r="A17" s="174"/>
      <c r="B17" s="35" t="s">
        <v>189</v>
      </c>
      <c r="C17" s="30"/>
      <c r="D17" s="30">
        <v>113.75769805908203</v>
      </c>
      <c r="E17" s="30">
        <v>109.72743988037109</v>
      </c>
      <c r="F17" s="30">
        <v>109.43095397949219</v>
      </c>
      <c r="G17" s="30">
        <v>111.51348876953125</v>
      </c>
      <c r="H17" s="30">
        <v>125.99232482910156</v>
      </c>
      <c r="I17" s="30">
        <v>135.67457580566406</v>
      </c>
      <c r="J17" s="30">
        <v>124.88224792480469</v>
      </c>
      <c r="K17" s="30">
        <v>86.840988159179688</v>
      </c>
      <c r="L17" s="30">
        <v>84.168190002441406</v>
      </c>
      <c r="M17" s="30">
        <v>86.047538757324219</v>
      </c>
      <c r="N17" s="30">
        <v>76.606842041015625</v>
      </c>
      <c r="O17" s="28">
        <f t="shared" si="0"/>
        <v>-0.32657883072468175</v>
      </c>
      <c r="P17" s="28">
        <f t="shared" si="1"/>
        <v>-0.38656739997871531</v>
      </c>
    </row>
    <row r="18" spans="1:16" ht="18" customHeight="1">
      <c r="A18" s="174"/>
      <c r="B18" s="35" t="s">
        <v>194</v>
      </c>
      <c r="C18" s="30"/>
      <c r="D18" s="30">
        <v>20.985103607177734</v>
      </c>
      <c r="E18" s="30">
        <v>20.960405349731445</v>
      </c>
      <c r="F18" s="30">
        <v>21.402223587036133</v>
      </c>
      <c r="G18" s="30">
        <v>21.667333602905273</v>
      </c>
      <c r="H18" s="30">
        <v>22.253358840942383</v>
      </c>
      <c r="I18" s="30">
        <v>22.522254943847656</v>
      </c>
      <c r="J18" s="30">
        <v>22.954002380371094</v>
      </c>
      <c r="K18" s="30">
        <v>23.200679779052734</v>
      </c>
      <c r="L18" s="30">
        <v>23.394670486450195</v>
      </c>
      <c r="M18" s="30">
        <v>23.981967926025391</v>
      </c>
      <c r="N18" s="30">
        <v>23.862165451049805</v>
      </c>
      <c r="O18" s="28">
        <f t="shared" si="0"/>
        <v>0.13710019725077752</v>
      </c>
      <c r="P18" s="28">
        <f t="shared" si="1"/>
        <v>3.9564475755884662E-2</v>
      </c>
    </row>
    <row r="19" spans="1:16" ht="18" customHeight="1">
      <c r="A19" s="174"/>
      <c r="B19" s="35" t="s">
        <v>195</v>
      </c>
      <c r="C19" s="36"/>
      <c r="D19" s="36">
        <v>0.18515706062316895</v>
      </c>
      <c r="E19" s="36">
        <v>0.18404686450958252</v>
      </c>
      <c r="F19" s="36">
        <v>0.21686641871929169</v>
      </c>
      <c r="G19" s="36">
        <v>0.23848113417625427</v>
      </c>
      <c r="H19" s="36">
        <v>0.20165865123271942</v>
      </c>
      <c r="I19" s="36">
        <v>0.17908564209938049</v>
      </c>
      <c r="J19" s="36">
        <v>0.20222212374210358</v>
      </c>
      <c r="K19" s="36">
        <v>0.2686779797077179</v>
      </c>
      <c r="L19" s="36">
        <v>0.23043771088123322</v>
      </c>
      <c r="M19" s="36">
        <v>0.24329198896884918</v>
      </c>
      <c r="N19" s="36">
        <v>0.25603166222572327</v>
      </c>
      <c r="O19" s="28">
        <f t="shared" si="0"/>
        <v>0.38278098261020727</v>
      </c>
      <c r="P19" s="28">
        <f t="shared" si="1"/>
        <v>0.26609125395322064</v>
      </c>
    </row>
    <row r="20" spans="1:16" ht="18" customHeight="1">
      <c r="A20" s="175"/>
      <c r="B20" s="37" t="s">
        <v>196</v>
      </c>
      <c r="C20" s="38"/>
      <c r="D20" s="38">
        <f ca="1">2763*OFFSET(D$112,MATCH($N$1,$C$112:$C$113,0)-1,0)</f>
        <v>2763</v>
      </c>
      <c r="E20" s="38">
        <f ca="1">2912*OFFSET(E$112,MATCH($N$1,$C$112:$C$113,0)-1,0)</f>
        <v>2912</v>
      </c>
      <c r="F20" s="38">
        <f ca="1">2508*OFFSET(F$112,MATCH($N$1,$C$112:$C$113,0)-1,0)</f>
        <v>2508</v>
      </c>
      <c r="G20" s="38">
        <f ca="1">2321*OFFSET(G$112,MATCH($N$1,$C$112:$C$113,0)-1,0)</f>
        <v>2321</v>
      </c>
      <c r="H20" s="38">
        <f ca="1">2475*OFFSET(H$112,MATCH($N$1,$C$112:$C$113,0)-1,0)</f>
        <v>2475</v>
      </c>
      <c r="I20" s="38">
        <f ca="1">2476*OFFSET(I$112,MATCH($N$1,$C$112:$C$113,0)-1,0)</f>
        <v>2476</v>
      </c>
      <c r="J20" s="38">
        <f ca="1">2756*OFFSET(J$112,MATCH($N$1,$C$112:$C$113,0)-1,0)</f>
        <v>2756</v>
      </c>
      <c r="K20" s="38">
        <f ca="1">2987*OFFSET(K$112,MATCH($N$1,$C$112:$C$113,0)-1,0)</f>
        <v>2987</v>
      </c>
      <c r="L20" s="38">
        <f ca="1">3759*OFFSET(L$112,MATCH($N$1,$C$112:$C$113,0)-1,0)</f>
        <v>3759</v>
      </c>
      <c r="M20" s="38">
        <f ca="1">3658*OFFSET(M$112,MATCH($N$1,$C$112:$C$113,0)-1,0)</f>
        <v>3658</v>
      </c>
      <c r="N20" s="38">
        <v>3048</v>
      </c>
      <c r="O20" s="32">
        <f t="shared" ca="1" si="0"/>
        <v>0.10314875135722042</v>
      </c>
      <c r="P20" s="32">
        <f t="shared" ca="1" si="1"/>
        <v>0.10595065312046444</v>
      </c>
    </row>
    <row r="21" spans="1:16" ht="18" customHeight="1">
      <c r="A21" s="176" t="s">
        <v>197</v>
      </c>
      <c r="B21" s="33" t="s">
        <v>198</v>
      </c>
      <c r="C21" s="39"/>
      <c r="D21" s="39">
        <v>2.2739023165943792</v>
      </c>
      <c r="E21" s="39">
        <v>2.3015224651299344</v>
      </c>
      <c r="F21" s="39">
        <v>2.6387625670278583</v>
      </c>
      <c r="G21" s="39">
        <v>2.7986422073965769</v>
      </c>
      <c r="H21" s="39">
        <v>2.4366922165614433</v>
      </c>
      <c r="I21" s="39">
        <v>2.1620165451187079</v>
      </c>
      <c r="J21" s="39">
        <v>2.4299966668068342</v>
      </c>
      <c r="K21" s="39">
        <v>3.1662273423551111</v>
      </c>
      <c r="L21" s="39">
        <v>2.6819373855238706</v>
      </c>
      <c r="M21" s="39">
        <v>2.7999837222470023</v>
      </c>
      <c r="N21" s="39">
        <v>2.7821756332790715</v>
      </c>
      <c r="O21" s="28">
        <f t="shared" si="0"/>
        <v>0.22352469276073941</v>
      </c>
      <c r="P21" s="28">
        <f t="shared" si="1"/>
        <v>0.1449298146301666</v>
      </c>
    </row>
    <row r="22" spans="1:16" ht="18" customHeight="1">
      <c r="A22" s="176"/>
      <c r="B22" s="35" t="s">
        <v>199</v>
      </c>
      <c r="C22" s="36"/>
      <c r="D22" s="36">
        <f ca="1">6.28351189108153*OFFSET(D$112,MATCH($N$1,$C$112:$C$113,0)-1,0)</f>
        <v>6.2835118910815302</v>
      </c>
      <c r="E22" s="36">
        <f ca="1">6.70292326927327*OFFSET(E$112,MATCH($N$1,$C$112:$C$113,0)-1,0)</f>
        <v>6.7029232692732696</v>
      </c>
      <c r="F22" s="36">
        <f ca="1">6.6178721193752*OFFSET(F$112,MATCH($N$1,$C$112:$C$113,0)-1,0)</f>
        <v>6.6178721193751997</v>
      </c>
      <c r="G22" s="36">
        <f ca="1">6.49446717600807*OFFSET(G$112,MATCH($N$1,$C$112:$C$113,0)-1,0)</f>
        <v>6.4944671760080697</v>
      </c>
      <c r="H22" s="36">
        <f ca="1">6.03167214091242*OFFSET(H$112,MATCH($N$1,$C$112:$C$113,0)-1,0)</f>
        <v>6.0316721409124199</v>
      </c>
      <c r="I22" s="36">
        <f ca="1">5.35386790191075*OFFSET(I$112,MATCH($N$1,$C$112:$C$113,0)-1,0)</f>
        <v>5.3538679019107498</v>
      </c>
      <c r="J22" s="36">
        <f ca="1">6.69804144141943*OFFSET(J$112,MATCH($N$1,$C$112:$C$113,0)-1,0)</f>
        <v>6.6980414414194298</v>
      </c>
      <c r="K22" s="36">
        <f ca="1">9.45698885616057*OFFSET(K$112,MATCH($N$1,$C$112:$C$113,0)-1,0)</f>
        <v>9.4569888561605708</v>
      </c>
      <c r="L22" s="36">
        <f ca="1">10.0814321946171*OFFSET(L$112,MATCH($N$1,$C$112:$C$113,0)-1,0)</f>
        <v>10.081432194617101</v>
      </c>
      <c r="M22" s="36">
        <f ca="1">10.2420611912899*OFFSET(M$112,MATCH($N$1,$C$112:$C$113,0)-1,0)</f>
        <v>10.242061191289899</v>
      </c>
      <c r="N22" s="36">
        <v>8.4798829642941218</v>
      </c>
      <c r="O22" s="28">
        <f t="shared" ca="1" si="0"/>
        <v>0.34954514470323506</v>
      </c>
      <c r="P22" s="28">
        <f t="shared" ca="1" si="1"/>
        <v>0.26602426074226992</v>
      </c>
    </row>
    <row r="23" spans="1:16" ht="18" customHeight="1">
      <c r="A23" s="176"/>
      <c r="B23" s="35" t="s">
        <v>154</v>
      </c>
      <c r="C23" s="36"/>
      <c r="D23" s="36">
        <f ca="1">4.84329058982042*OFFSET(D$112,MATCH($N$1,$C$112:$C$113,0)-1,0)</f>
        <v>4.8432905898204197</v>
      </c>
      <c r="E23" s="36">
        <f ca="1">5.28295202540529*OFFSET(E$112,MATCH($N$1,$C$112:$C$113,0)-1,0)</f>
        <v>5.2829520254052902</v>
      </c>
      <c r="F23" s="36">
        <f ca="1">5.63615329830325*OFFSET(F$112,MATCH($N$1,$C$112:$C$113,0)-1,0)</f>
        <v>5.6361532983032498</v>
      </c>
      <c r="G23" s="36">
        <f ca="1">5.3240609861349*OFFSET(G$112,MATCH($N$1,$C$112:$C$113,0)-1,0)</f>
        <v>5.3240609861349002</v>
      </c>
      <c r="H23" s="36">
        <f ca="1">5.04118873551011*OFFSET(H$112,MATCH($N$1,$C$112:$C$113,0)-1,0)</f>
        <v>5.0411887355101097</v>
      </c>
      <c r="I23" s="36">
        <f ca="1">4.40040787029277*OFFSET(I$112,MATCH($N$1,$C$112:$C$113,0)-1,0)</f>
        <v>4.4004078702927698</v>
      </c>
      <c r="J23" s="36">
        <f ca="1">4.8566049082833*OFFSET(J$112,MATCH($N$1,$C$112:$C$113,0)-1,0)</f>
        <v>4.8566049082833</v>
      </c>
      <c r="K23" s="36">
        <f ca="1">7.07538612036661*OFFSET(K$112,MATCH($N$1,$C$112:$C$113,0)-1,0)</f>
        <v>7.07538612036661</v>
      </c>
      <c r="L23" s="36">
        <f ca="1">7.62664631595493*OFFSET(L$112,MATCH($N$1,$C$112:$C$113,0)-1,0)</f>
        <v>7.6266463159549298</v>
      </c>
      <c r="M23" s="36">
        <f ca="1">8.15975816189719*OFFSET(M$112,MATCH($N$1,$C$112:$C$113,0)-1,0)</f>
        <v>8.1597581618971908</v>
      </c>
      <c r="N23" s="36">
        <v>7.056969229851779</v>
      </c>
      <c r="O23" s="28">
        <f t="shared" ca="1" si="0"/>
        <v>0.45706087606720258</v>
      </c>
      <c r="P23" s="28">
        <f t="shared" ca="1" si="1"/>
        <v>0.45306636284446244</v>
      </c>
    </row>
    <row r="24" spans="1:16" ht="18" customHeight="1">
      <c r="A24" s="176"/>
      <c r="B24" s="35" t="s">
        <v>155</v>
      </c>
      <c r="C24" s="36"/>
      <c r="D24" s="36">
        <f ca="1">1.67589449313988*OFFSET(D$112,MATCH($N$1,$C$112:$C$113,0)-1,0)</f>
        <v>1.67589449313988</v>
      </c>
      <c r="E24" s="36">
        <f ca="1">1.72526642103349*OFFSET(E$112,MATCH($N$1,$C$112:$C$113,0)-1,0)</f>
        <v>1.72526642103349</v>
      </c>
      <c r="F24" s="36">
        <f ca="1">1.29604925045744*OFFSET(F$112,MATCH($N$1,$C$112:$C$113,0)-1,0)</f>
        <v>1.2960492504574399</v>
      </c>
      <c r="G24" s="36">
        <f ca="1">1.50244952095859*OFFSET(G$112,MATCH($N$1,$C$112:$C$113,0)-1,0)</f>
        <v>1.50244952095859</v>
      </c>
      <c r="H24" s="36">
        <f ca="1">1.23702032448369*OFFSET(H$112,MATCH($N$1,$C$112:$C$113,0)-1,0)</f>
        <v>1.2370203244836899</v>
      </c>
      <c r="I24" s="36">
        <f ca="1">1.08552252609465*OFFSET(I$112,MATCH($N$1,$C$112:$C$113,0)-1,0)</f>
        <v>1.0855225260946499</v>
      </c>
      <c r="J24" s="36">
        <f ca="1">2.19265044855248*OFFSET(J$112,MATCH($N$1,$C$112:$C$113,0)-1,0)</f>
        <v>2.19265044855248</v>
      </c>
      <c r="K24" s="36">
        <f ca="1">2.59771006033292*OFFSET(K$112,MATCH($N$1,$C$112:$C$113,0)-1,0)</f>
        <v>2.5977100603329202</v>
      </c>
      <c r="L24" s="36">
        <f ca="1">2.82673600636502*OFFSET(L$112,MATCH($N$1,$C$112:$C$113,0)-1,0)</f>
        <v>2.82673600636502</v>
      </c>
      <c r="M24" s="36">
        <f ca="1">2.55976609668953*OFFSET(M$112,MATCH($N$1,$C$112:$C$113,0)-1,0)</f>
        <v>2.5597660966895299</v>
      </c>
      <c r="N24" s="36">
        <v>2.4354489306577158</v>
      </c>
      <c r="O24" s="28">
        <f t="shared" ca="1" si="0"/>
        <v>0.453223302914952</v>
      </c>
      <c r="P24" s="28">
        <f t="shared" ca="1" si="1"/>
        <v>0.11073287229413327</v>
      </c>
    </row>
    <row r="25" spans="1:16" ht="18" customHeight="1">
      <c r="A25" s="176"/>
      <c r="B25" s="35" t="s">
        <v>200</v>
      </c>
      <c r="C25" s="31"/>
      <c r="D25" s="31">
        <f ca="1">66.7*OFFSET(D$112,MATCH($N$1,$C$112:$C$113,0)-1,0)</f>
        <v>66.7</v>
      </c>
      <c r="E25" s="31">
        <f ca="1">69.11*OFFSET(E$112,MATCH($N$1,$C$112:$C$113,0)-1,0)</f>
        <v>69.11</v>
      </c>
      <c r="F25" s="31">
        <f ca="1">67.04*OFFSET(F$112,MATCH($N$1,$C$112:$C$113,0)-1,0)</f>
        <v>67.040000000000006</v>
      </c>
      <c r="G25" s="31">
        <f ca="1">69.08*OFFSET(G$112,MATCH($N$1,$C$112:$C$113,0)-1,0)</f>
        <v>69.08</v>
      </c>
      <c r="H25" s="31">
        <f ca="1">65.92*OFFSET(H$112,MATCH($N$1,$C$112:$C$113,0)-1,0)</f>
        <v>65.92</v>
      </c>
      <c r="I25" s="31">
        <f ca="1">56.69*OFFSET(I$112,MATCH($N$1,$C$112:$C$113,0)-1,0)</f>
        <v>56.69</v>
      </c>
      <c r="J25" s="31">
        <f ca="1">66.93*OFFSET(J$112,MATCH($N$1,$C$112:$C$113,0)-1,0)</f>
        <v>66.930000000000007</v>
      </c>
      <c r="K25" s="31">
        <f ca="1">113.94*OFFSET(K$112,MATCH($N$1,$C$112:$C$113,0)-1,0)</f>
        <v>113.94</v>
      </c>
      <c r="L25" s="31">
        <f ca="1">100.68*OFFSET(L$112,MATCH($N$1,$C$112:$C$113,0)-1,0)</f>
        <v>100.68</v>
      </c>
      <c r="M25" s="31">
        <f ca="1">139.62*OFFSET(M$112,MATCH($N$1,$C$112:$C$113,0)-1,0)</f>
        <v>139.62</v>
      </c>
      <c r="N25" s="31">
        <v>119.1</v>
      </c>
      <c r="O25" s="28">
        <f t="shared" ca="1" si="0"/>
        <v>0.78560719640179899</v>
      </c>
      <c r="P25" s="28">
        <f t="shared" ca="1" si="1"/>
        <v>0.77947108919766894</v>
      </c>
    </row>
    <row r="26" spans="1:16" ht="18" customHeight="1">
      <c r="A26" s="177"/>
      <c r="B26" s="35" t="s">
        <v>201</v>
      </c>
      <c r="C26" s="31"/>
      <c r="D26" s="31">
        <f ca="1">17.76*OFFSET(D$112,MATCH($N$1,$C$112:$C$113,0)-1,0)</f>
        <v>17.760000000000002</v>
      </c>
      <c r="E26" s="31">
        <f ca="1">17.75*OFFSET(E$112,MATCH($N$1,$C$112:$C$113,0)-1,0)</f>
        <v>17.75</v>
      </c>
      <c r="F26" s="31">
        <f ca="1">13.18*OFFSET(F$112,MATCH($N$1,$C$112:$C$113,0)-1,0)</f>
        <v>13.18</v>
      </c>
      <c r="G26" s="31">
        <f ca="1">16.01*OFFSET(G$112,MATCH($N$1,$C$112:$C$113,0)-1,0)</f>
        <v>16.010000000000002</v>
      </c>
      <c r="H26" s="31">
        <f ca="1">13.52*OFFSET(H$112,MATCH($N$1,$C$112:$C$113,0)-1,0)</f>
        <v>13.52</v>
      </c>
      <c r="I26" s="31">
        <f ca="1">11.49*OFFSET(I$112,MATCH($N$1,$C$112:$C$113,0)-1,0)</f>
        <v>11.49</v>
      </c>
      <c r="J26" s="31">
        <f ca="1">21.92*OFFSET(J$112,MATCH($N$1,$C$112:$C$113,0)-1,0)</f>
        <v>21.92</v>
      </c>
      <c r="K26" s="31">
        <f ca="1">31.22*OFFSET(K$112,MATCH($N$1,$C$112:$C$113,0)-1,0)</f>
        <v>31.22</v>
      </c>
      <c r="L26" s="31">
        <f ca="1">28.17*OFFSET(L$112,MATCH($N$1,$C$112:$C$113,0)-1,0)</f>
        <v>28.17</v>
      </c>
      <c r="M26" s="31">
        <f ca="1">34.81*OFFSET(M$112,MATCH($N$1,$C$112:$C$113,0)-1,0)</f>
        <v>34.81</v>
      </c>
      <c r="N26" s="31">
        <v>34.26</v>
      </c>
      <c r="O26" s="32">
        <f t="shared" ca="1" si="0"/>
        <v>0.92905405405405372</v>
      </c>
      <c r="P26" s="32">
        <f t="shared" ca="1" si="1"/>
        <v>0.56295620437956184</v>
      </c>
    </row>
    <row r="27" spans="1:16" ht="18" customHeight="1">
      <c r="A27" s="166" t="s">
        <v>202</v>
      </c>
      <c r="B27" s="33" t="s">
        <v>193</v>
      </c>
      <c r="C27" s="34"/>
      <c r="D27" s="34">
        <f ca="1">58.2*OFFSET(D$112,MATCH($N$1,$C$112:$C$113,0)-1,0)</f>
        <v>58.2</v>
      </c>
      <c r="E27" s="34">
        <f ca="1">58.8*OFFSET(E$112,MATCH($N$1,$C$112:$C$113,0)-1,0)</f>
        <v>58.8</v>
      </c>
      <c r="F27" s="34">
        <f ca="1">59.5*OFFSET(F$112,MATCH($N$1,$C$112:$C$113,0)-1,0)</f>
        <v>59.5</v>
      </c>
      <c r="G27" s="34">
        <f ca="1">61.7*OFFSET(G$112,MATCH($N$1,$C$112:$C$113,0)-1,0)</f>
        <v>61.7</v>
      </c>
      <c r="H27" s="34">
        <f ca="1">62.9*OFFSET(H$112,MATCH($N$1,$C$112:$C$113,0)-1,0)</f>
        <v>62.9</v>
      </c>
      <c r="I27" s="34">
        <f ca="1">60.2*OFFSET(I$112,MATCH($N$1,$C$112:$C$113,0)-1,0)</f>
        <v>60.2</v>
      </c>
      <c r="J27" s="34">
        <f ca="1">69.6*OFFSET(J$112,MATCH($N$1,$C$112:$C$113,0)-1,0)</f>
        <v>69.599999999999994</v>
      </c>
      <c r="K27" s="34">
        <f ca="1">69.7*OFFSET(K$112,MATCH($N$1,$C$112:$C$113,0)-1,0)</f>
        <v>69.7</v>
      </c>
      <c r="L27" s="34">
        <f ca="1">72.9*OFFSET(L$112,MATCH($N$1,$C$112:$C$113,0)-1,0)</f>
        <v>72.900000000000006</v>
      </c>
      <c r="M27" s="34">
        <f ca="1">76.6*OFFSET(M$112,MATCH($N$1,$C$112:$C$113,0)-1,0)</f>
        <v>76.599999999999994</v>
      </c>
      <c r="N27" s="34">
        <v>59.800000000000004</v>
      </c>
      <c r="O27" s="28">
        <f t="shared" ca="1" si="0"/>
        <v>2.7491408934707928E-2</v>
      </c>
      <c r="P27" s="28">
        <f t="shared" ca="1" si="1"/>
        <v>-0.14080459770114928</v>
      </c>
    </row>
    <row r="28" spans="1:16" ht="18" customHeight="1">
      <c r="A28" s="178"/>
      <c r="B28" s="35" t="s">
        <v>203</v>
      </c>
      <c r="C28" s="31"/>
      <c r="D28" s="31">
        <f ca="1">2.2*OFFSET(D$112,MATCH($N$1,$C$112:$C$113,0)-1,0)</f>
        <v>2.2000000000000002</v>
      </c>
      <c r="E28" s="31">
        <f ca="1">2.7*OFFSET(E$112,MATCH($N$1,$C$112:$C$113,0)-1,0)</f>
        <v>2.7</v>
      </c>
      <c r="F28" s="31">
        <f ca="1">2.8*OFFSET(F$112,MATCH($N$1,$C$112:$C$113,0)-1,0)</f>
        <v>2.8</v>
      </c>
      <c r="G28" s="31">
        <f ca="1">3.2*OFFSET(G$112,MATCH($N$1,$C$112:$C$113,0)-1,0)</f>
        <v>3.2</v>
      </c>
      <c r="H28" s="31">
        <f ca="1">2.6*OFFSET(H$112,MATCH($N$1,$C$112:$C$113,0)-1,0)</f>
        <v>2.6</v>
      </c>
      <c r="I28" s="31">
        <f ca="1">1.5*OFFSET(I$112,MATCH($N$1,$C$112:$C$113,0)-1,0)</f>
        <v>1.5</v>
      </c>
      <c r="J28" s="31">
        <f ca="1">3.7*OFFSET(J$112,MATCH($N$1,$C$112:$C$113,0)-1,0)</f>
        <v>3.7</v>
      </c>
      <c r="K28" s="31">
        <f ca="1">1.6*OFFSET(K$112,MATCH($N$1,$C$112:$C$113,0)-1,0)</f>
        <v>1.6</v>
      </c>
      <c r="L28" s="31">
        <f ca="1">2.7*OFFSET(L$112,MATCH($N$1,$C$112:$C$113,0)-1,0)</f>
        <v>2.7</v>
      </c>
      <c r="M28" s="31">
        <f ca="1">3.6*OFFSET(M$112,MATCH($N$1,$C$112:$C$113,0)-1,0)</f>
        <v>3.6</v>
      </c>
      <c r="N28" s="31">
        <v>7.1000000000000005</v>
      </c>
      <c r="O28" s="28">
        <f t="shared" ca="1" si="0"/>
        <v>2.2272727272727271</v>
      </c>
      <c r="P28" s="28">
        <f t="shared" ca="1" si="1"/>
        <v>0.91891891891891897</v>
      </c>
    </row>
    <row r="29" spans="1:16" ht="18" customHeight="1">
      <c r="A29" s="178"/>
      <c r="B29" s="40" t="s">
        <v>204</v>
      </c>
      <c r="C29" s="41"/>
      <c r="D29" s="41">
        <f ca="1">60.4*OFFSET(D$112,MATCH($N$1,$C$112:$C$113,0)-1,0)</f>
        <v>60.4</v>
      </c>
      <c r="E29" s="41">
        <f ca="1">61.5*OFFSET(E$112,MATCH($N$1,$C$112:$C$113,0)-1,0)</f>
        <v>61.5</v>
      </c>
      <c r="F29" s="41">
        <f ca="1">62.3*OFFSET(F$112,MATCH($N$1,$C$112:$C$113,0)-1,0)</f>
        <v>62.3</v>
      </c>
      <c r="G29" s="41">
        <f ca="1">64.9*OFFSET(G$112,MATCH($N$1,$C$112:$C$113,0)-1,0)</f>
        <v>64.900000000000006</v>
      </c>
      <c r="H29" s="41">
        <f ca="1">65.5*OFFSET(H$112,MATCH($N$1,$C$112:$C$113,0)-1,0)</f>
        <v>65.5</v>
      </c>
      <c r="I29" s="41">
        <f ca="1">61.7*OFFSET(I$112,MATCH($N$1,$C$112:$C$113,0)-1,0)</f>
        <v>61.7</v>
      </c>
      <c r="J29" s="41">
        <f ca="1">73.3*OFFSET(J$112,MATCH($N$1,$C$112:$C$113,0)-1,0)</f>
        <v>73.3</v>
      </c>
      <c r="K29" s="41">
        <f ca="1">71.3*OFFSET(K$112,MATCH($N$1,$C$112:$C$113,0)-1,0)</f>
        <v>71.3</v>
      </c>
      <c r="L29" s="41">
        <f ca="1">75.6*OFFSET(L$112,MATCH($N$1,$C$112:$C$113,0)-1,0)</f>
        <v>75.599999999999994</v>
      </c>
      <c r="M29" s="41">
        <f ca="1">80.1*OFFSET(M$112,MATCH($N$1,$C$112:$C$113,0)-1,0)</f>
        <v>80.099999999999994</v>
      </c>
      <c r="N29" s="41">
        <v>66.900000000000006</v>
      </c>
      <c r="O29" s="28">
        <f t="shared" ca="1" si="0"/>
        <v>0.10761589403973522</v>
      </c>
      <c r="P29" s="28">
        <f t="shared" ca="1" si="1"/>
        <v>-8.7312414733969876E-2</v>
      </c>
    </row>
    <row r="30" spans="1:16" ht="18" customHeight="1">
      <c r="A30" s="178"/>
      <c r="B30" s="35" t="s">
        <v>205</v>
      </c>
      <c r="C30" s="31"/>
      <c r="D30" s="31">
        <f ca="1">8.2*OFFSET(D$112,MATCH($N$1,$C$112:$C$113,0)-1,0)</f>
        <v>8.1999999999999993</v>
      </c>
      <c r="E30" s="31">
        <f ca="1">10.1*OFFSET(E$112,MATCH($N$1,$C$112:$C$113,0)-1,0)</f>
        <v>10.1</v>
      </c>
      <c r="F30" s="31">
        <f ca="1">10.3*OFFSET(F$112,MATCH($N$1,$C$112:$C$113,0)-1,0)</f>
        <v>10.3</v>
      </c>
      <c r="G30" s="31">
        <f ca="1">10.3*OFFSET(G$112,MATCH($N$1,$C$112:$C$113,0)-1,0)</f>
        <v>10.3</v>
      </c>
      <c r="H30" s="31">
        <f ca="1">10.2*OFFSET(H$112,MATCH($N$1,$C$112:$C$113,0)-1,0)</f>
        <v>10.199999999999999</v>
      </c>
      <c r="I30" s="31">
        <f ca="1">7.6*OFFSET(I$112,MATCH($N$1,$C$112:$C$113,0)-1,0)</f>
        <v>7.6</v>
      </c>
      <c r="J30" s="31">
        <f ca="1">6.6*OFFSET(J$112,MATCH($N$1,$C$112:$C$113,0)-1,0)</f>
        <v>6.6</v>
      </c>
      <c r="K30" s="31">
        <f ca="1">5.6*OFFSET(K$112,MATCH($N$1,$C$112:$C$113,0)-1,0)</f>
        <v>5.6</v>
      </c>
      <c r="L30" s="31">
        <f ca="1">6.6*OFFSET(L$112,MATCH($N$1,$C$112:$C$113,0)-1,0)</f>
        <v>6.6</v>
      </c>
      <c r="M30" s="31">
        <f ca="1">6.5*OFFSET(M$112,MATCH($N$1,$C$112:$C$113,0)-1,0)</f>
        <v>6.5</v>
      </c>
      <c r="N30" s="31">
        <v>4.3</v>
      </c>
      <c r="O30" s="28">
        <f t="shared" ca="1" si="0"/>
        <v>-0.47560975609756095</v>
      </c>
      <c r="P30" s="28">
        <f t="shared" ca="1" si="1"/>
        <v>-0.34848484848484845</v>
      </c>
    </row>
    <row r="31" spans="1:16" ht="18" customHeight="1">
      <c r="A31" s="178"/>
      <c r="B31" s="35" t="s">
        <v>206</v>
      </c>
      <c r="C31" s="31"/>
      <c r="D31" s="31">
        <f ca="1">16.2*OFFSET(D$112,MATCH($N$1,$C$112:$C$113,0)-1,0)</f>
        <v>16.2</v>
      </c>
      <c r="E31" s="31">
        <f ca="1">14.9*OFFSET(E$112,MATCH($N$1,$C$112:$C$113,0)-1,0)</f>
        <v>14.9</v>
      </c>
      <c r="F31" s="31">
        <f ca="1">16.6*OFFSET(F$112,MATCH($N$1,$C$112:$C$113,0)-1,0)</f>
        <v>16.600000000000001</v>
      </c>
      <c r="G31" s="31">
        <f ca="1">18.4*OFFSET(G$112,MATCH($N$1,$C$112:$C$113,0)-1,0)</f>
        <v>18.399999999999999</v>
      </c>
      <c r="H31" s="31">
        <f ca="1">19*OFFSET(H$112,MATCH($N$1,$C$112:$C$113,0)-1,0)</f>
        <v>19</v>
      </c>
      <c r="I31" s="31">
        <f ca="1">19.3*OFFSET(I$112,MATCH($N$1,$C$112:$C$113,0)-1,0)</f>
        <v>19.3</v>
      </c>
      <c r="J31" s="31">
        <f ca="1">20.2*OFFSET(J$112,MATCH($N$1,$C$112:$C$113,0)-1,0)</f>
        <v>20.2</v>
      </c>
      <c r="K31" s="31">
        <f ca="1">17.8*OFFSET(K$112,MATCH($N$1,$C$112:$C$113,0)-1,0)</f>
        <v>17.8</v>
      </c>
      <c r="L31" s="31">
        <f ca="1">21.5*OFFSET(L$112,MATCH($N$1,$C$112:$C$113,0)-1,0)</f>
        <v>21.5</v>
      </c>
      <c r="M31" s="31">
        <f ca="1">21*OFFSET(M$112,MATCH($N$1,$C$112:$C$113,0)-1,0)</f>
        <v>21</v>
      </c>
      <c r="N31" s="31">
        <v>16.7</v>
      </c>
      <c r="O31" s="28">
        <f t="shared" ca="1" si="0"/>
        <v>3.0864197530864199E-2</v>
      </c>
      <c r="P31" s="28">
        <f t="shared" ca="1" si="1"/>
        <v>-0.17326732673267328</v>
      </c>
    </row>
    <row r="32" spans="1:16" ht="18" customHeight="1">
      <c r="A32" s="178"/>
      <c r="B32" s="35" t="s">
        <v>207</v>
      </c>
      <c r="C32" s="31"/>
      <c r="D32" s="31">
        <f ca="1">7.6*OFFSET(D$112,MATCH($N$1,$C$112:$C$113,0)-1,0)</f>
        <v>7.6</v>
      </c>
      <c r="E32" s="31">
        <f ca="1">9.2*OFFSET(E$112,MATCH($N$1,$C$112:$C$113,0)-1,0)</f>
        <v>9.1999999999999993</v>
      </c>
      <c r="F32" s="31">
        <f ca="1">10.7*OFFSET(F$112,MATCH($N$1,$C$112:$C$113,0)-1,0)</f>
        <v>10.7</v>
      </c>
      <c r="G32" s="31">
        <f ca="1">10.3*OFFSET(G$112,MATCH($N$1,$C$112:$C$113,0)-1,0)</f>
        <v>10.3</v>
      </c>
      <c r="H32" s="31">
        <f ca="1">10.4*OFFSET(H$112,MATCH($N$1,$C$112:$C$113,0)-1,0)</f>
        <v>10.4</v>
      </c>
      <c r="I32" s="31">
        <f ca="1">8.8*OFFSET(I$112,MATCH($N$1,$C$112:$C$113,0)-1,0)</f>
        <v>8.8000000000000007</v>
      </c>
      <c r="J32" s="31">
        <f ca="1">10.4*OFFSET(J$112,MATCH($N$1,$C$112:$C$113,0)-1,0)</f>
        <v>10.4</v>
      </c>
      <c r="K32" s="31">
        <f ca="1">14.4*OFFSET(K$112,MATCH($N$1,$C$112:$C$113,0)-1,0)</f>
        <v>14.4</v>
      </c>
      <c r="L32" s="31">
        <f ca="1">12*OFFSET(L$112,MATCH($N$1,$C$112:$C$113,0)-1,0)</f>
        <v>12</v>
      </c>
      <c r="M32" s="31">
        <f ca="1">17.8*OFFSET(M$112,MATCH($N$1,$C$112:$C$113,0)-1,0)</f>
        <v>17.8</v>
      </c>
      <c r="N32" s="31">
        <v>13.9</v>
      </c>
      <c r="O32" s="28">
        <f t="shared" ca="1" si="0"/>
        <v>0.82894736842105277</v>
      </c>
      <c r="P32" s="28">
        <f t="shared" ca="1" si="1"/>
        <v>0.33653846153846151</v>
      </c>
    </row>
    <row r="33" spans="1:16" ht="18" customHeight="1">
      <c r="A33" s="178"/>
      <c r="B33" s="35" t="s">
        <v>208</v>
      </c>
      <c r="C33" s="31"/>
      <c r="D33" s="31">
        <f ca="1">31.9*OFFSET(D$112,MATCH($N$1,$C$112:$C$113,0)-1,0)</f>
        <v>31.9</v>
      </c>
      <c r="E33" s="31">
        <f ca="1">34.2*OFFSET(E$112,MATCH($N$1,$C$112:$C$113,0)-1,0)</f>
        <v>34.200000000000003</v>
      </c>
      <c r="F33" s="31">
        <f ca="1">37.6*OFFSET(F$112,MATCH($N$1,$C$112:$C$113,0)-1,0)</f>
        <v>37.6</v>
      </c>
      <c r="G33" s="31">
        <f ca="1">39*OFFSET(G$112,MATCH($N$1,$C$112:$C$113,0)-1,0)</f>
        <v>39</v>
      </c>
      <c r="H33" s="31">
        <f ca="1">39.6*OFFSET(H$112,MATCH($N$1,$C$112:$C$113,0)-1,0)</f>
        <v>39.6</v>
      </c>
      <c r="I33" s="31">
        <f ca="1">35.7*OFFSET(I$112,MATCH($N$1,$C$112:$C$113,0)-1,0)</f>
        <v>35.700000000000003</v>
      </c>
      <c r="J33" s="31">
        <f ca="1">37.2*OFFSET(J$112,MATCH($N$1,$C$112:$C$113,0)-1,0)</f>
        <v>37.200000000000003</v>
      </c>
      <c r="K33" s="31">
        <f ca="1">37.9*OFFSET(K$112,MATCH($N$1,$C$112:$C$113,0)-1,0)</f>
        <v>37.9</v>
      </c>
      <c r="L33" s="31">
        <f ca="1">40.1*OFFSET(L$112,MATCH($N$1,$C$112:$C$113,0)-1,0)</f>
        <v>40.1</v>
      </c>
      <c r="M33" s="31">
        <f ca="1">45.3*OFFSET(M$112,MATCH($N$1,$C$112:$C$113,0)-1,0)</f>
        <v>45.3</v>
      </c>
      <c r="N33" s="31">
        <v>34.9</v>
      </c>
      <c r="O33" s="28">
        <f t="shared" ca="1" si="0"/>
        <v>9.4043887147335428E-2</v>
      </c>
      <c r="P33" s="28">
        <f t="shared" ca="1" si="1"/>
        <v>-6.1827956989247423E-2</v>
      </c>
    </row>
    <row r="34" spans="1:16" ht="18" customHeight="1">
      <c r="A34" s="178"/>
      <c r="B34" s="35" t="s">
        <v>209</v>
      </c>
      <c r="C34" s="31"/>
      <c r="D34" s="31">
        <f ca="1">12.9*OFFSET(D$112,MATCH($N$1,$C$112:$C$113,0)-1,0)</f>
        <v>12.9</v>
      </c>
      <c r="E34" s="31">
        <f ca="1">12.2*OFFSET(E$112,MATCH($N$1,$C$112:$C$113,0)-1,0)</f>
        <v>12.2</v>
      </c>
      <c r="F34" s="31">
        <f ca="1">13.1*OFFSET(F$112,MATCH($N$1,$C$112:$C$113,0)-1,0)</f>
        <v>13.1</v>
      </c>
      <c r="G34" s="31">
        <f ca="1">11.6*OFFSET(G$112,MATCH($N$1,$C$112:$C$113,0)-1,0)</f>
        <v>11.6</v>
      </c>
      <c r="H34" s="31">
        <f ca="1">13*OFFSET(H$112,MATCH($N$1,$C$112:$C$113,0)-1,0)</f>
        <v>13</v>
      </c>
      <c r="I34" s="31">
        <f ca="1">13.7*OFFSET(I$112,MATCH($N$1,$C$112:$C$113,0)-1,0)</f>
        <v>13.7</v>
      </c>
      <c r="J34" s="31">
        <f ca="1">13.2*OFFSET(J$112,MATCH($N$1,$C$112:$C$113,0)-1,0)</f>
        <v>13.2</v>
      </c>
      <c r="K34" s="31">
        <f ca="1">14.3*OFFSET(K$112,MATCH($N$1,$C$112:$C$113,0)-1,0)</f>
        <v>14.3</v>
      </c>
      <c r="L34" s="31">
        <f ca="1">15.1*OFFSET(L$112,MATCH($N$1,$C$112:$C$113,0)-1,0)</f>
        <v>15.1</v>
      </c>
      <c r="M34" s="31">
        <f ca="1">15.7*OFFSET(M$112,MATCH($N$1,$C$112:$C$113,0)-1,0)</f>
        <v>15.7</v>
      </c>
      <c r="N34" s="31">
        <v>14.9</v>
      </c>
      <c r="O34" s="28">
        <f t="shared" ca="1" si="0"/>
        <v>0.15503875968992248</v>
      </c>
      <c r="P34" s="28">
        <f t="shared" ca="1" si="1"/>
        <v>0.12878787878787887</v>
      </c>
    </row>
    <row r="35" spans="1:16" ht="18" customHeight="1">
      <c r="A35" s="178"/>
      <c r="B35" s="35" t="s">
        <v>210</v>
      </c>
      <c r="C35" s="31"/>
      <c r="D35" s="31">
        <f ca="1">44.9*OFFSET(D$112,MATCH($N$1,$C$112:$C$113,0)-1,0)</f>
        <v>44.9</v>
      </c>
      <c r="E35" s="31">
        <f ca="1">46.4*OFFSET(E$112,MATCH($N$1,$C$112:$C$113,0)-1,0)</f>
        <v>46.4</v>
      </c>
      <c r="F35" s="31">
        <f ca="1">50.7*OFFSET(F$112,MATCH($N$1,$C$112:$C$113,0)-1,0)</f>
        <v>50.7</v>
      </c>
      <c r="G35" s="31">
        <f ca="1">50.6*OFFSET(G$112,MATCH($N$1,$C$112:$C$113,0)-1,0)</f>
        <v>50.6</v>
      </c>
      <c r="H35" s="31">
        <f ca="1">52.6*OFFSET(H$112,MATCH($N$1,$C$112:$C$113,0)-1,0)</f>
        <v>52.6</v>
      </c>
      <c r="I35" s="31">
        <f ca="1">49.5*OFFSET(I$112,MATCH($N$1,$C$112:$C$113,0)-1,0)</f>
        <v>49.5</v>
      </c>
      <c r="J35" s="31">
        <f ca="1">50.5*OFFSET(J$112,MATCH($N$1,$C$112:$C$113,0)-1,0)</f>
        <v>50.5</v>
      </c>
      <c r="K35" s="31">
        <f ca="1">52.1*OFFSET(K$112,MATCH($N$1,$C$112:$C$113,0)-1,0)</f>
        <v>52.1</v>
      </c>
      <c r="L35" s="31">
        <f ca="1">55.2*OFFSET(L$112,MATCH($N$1,$C$112:$C$113,0)-1,0)</f>
        <v>55.2</v>
      </c>
      <c r="M35" s="31">
        <f ca="1">61*OFFSET(M$112,MATCH($N$1,$C$112:$C$113,0)-1,0)</f>
        <v>61</v>
      </c>
      <c r="N35" s="31">
        <v>49.800000000000004</v>
      </c>
      <c r="O35" s="28">
        <f t="shared" ca="1" si="0"/>
        <v>0.10913140311804022</v>
      </c>
      <c r="P35" s="28">
        <f t="shared" ca="1" si="1"/>
        <v>-1.3861386138613777E-2</v>
      </c>
    </row>
    <row r="36" spans="1:16" ht="18" customHeight="1">
      <c r="A36" s="178"/>
      <c r="B36" s="40" t="s">
        <v>211</v>
      </c>
      <c r="C36" s="41"/>
      <c r="D36" s="41">
        <f ca="1">31.7*OFFSET(D$112,MATCH($N$1,$C$112:$C$113,0)-1,0)</f>
        <v>31.7</v>
      </c>
      <c r="E36" s="41">
        <f ca="1">30*OFFSET(E$112,MATCH($N$1,$C$112:$C$113,0)-1,0)</f>
        <v>30</v>
      </c>
      <c r="F36" s="41">
        <f ca="1">28.3*OFFSET(F$112,MATCH($N$1,$C$112:$C$113,0)-1,0)</f>
        <v>28.3</v>
      </c>
      <c r="G36" s="41">
        <f ca="1">32.7*OFFSET(G$112,MATCH($N$1,$C$112:$C$113,0)-1,0)</f>
        <v>32.700000000000003</v>
      </c>
      <c r="H36" s="41">
        <f ca="1">31.9*OFFSET(H$112,MATCH($N$1,$C$112:$C$113,0)-1,0)</f>
        <v>31.9</v>
      </c>
      <c r="I36" s="41">
        <f ca="1">31.5*OFFSET(I$112,MATCH($N$1,$C$112:$C$113,0)-1,0)</f>
        <v>31.5</v>
      </c>
      <c r="J36" s="41">
        <f ca="1">43*OFFSET(J$112,MATCH($N$1,$C$112:$C$113,0)-1,0)</f>
        <v>43</v>
      </c>
      <c r="K36" s="41">
        <f ca="1">36.9*OFFSET(K$112,MATCH($N$1,$C$112:$C$113,0)-1,0)</f>
        <v>36.9</v>
      </c>
      <c r="L36" s="41">
        <f ca="1">41.9*OFFSET(L$112,MATCH($N$1,$C$112:$C$113,0)-1,0)</f>
        <v>41.9</v>
      </c>
      <c r="M36" s="41">
        <f ca="1">40.1*OFFSET(M$112,MATCH($N$1,$C$112:$C$113,0)-1,0)</f>
        <v>40.1</v>
      </c>
      <c r="N36" s="41">
        <v>33.9</v>
      </c>
      <c r="O36" s="28">
        <f t="shared" ca="1" si="0"/>
        <v>6.9400630914826483E-2</v>
      </c>
      <c r="P36" s="28">
        <f t="shared" ca="1" si="1"/>
        <v>-0.21162790697674422</v>
      </c>
    </row>
    <row r="37" spans="1:16" ht="18" customHeight="1">
      <c r="A37" s="178"/>
      <c r="B37" s="40" t="s">
        <v>212</v>
      </c>
      <c r="C37" s="41"/>
      <c r="D37" s="41">
        <f ca="1">15.5*OFFSET(D$112,MATCH($N$1,$C$112:$C$113,0)-1,0)</f>
        <v>15.5</v>
      </c>
      <c r="E37" s="41">
        <f ca="1">15.1*OFFSET(E$112,MATCH($N$1,$C$112:$C$113,0)-1,0)</f>
        <v>15.1</v>
      </c>
      <c r="F37" s="41">
        <f ca="1">11.7*OFFSET(F$112,MATCH($N$1,$C$112:$C$113,0)-1,0)</f>
        <v>11.7</v>
      </c>
      <c r="G37" s="41">
        <f ca="1">14.3*OFFSET(G$112,MATCH($N$1,$C$112:$C$113,0)-1,0)</f>
        <v>14.3</v>
      </c>
      <c r="H37" s="41">
        <f ca="1">12.9*OFFSET(H$112,MATCH($N$1,$C$112:$C$113,0)-1,0)</f>
        <v>12.9</v>
      </c>
      <c r="I37" s="41">
        <f ca="1">12.2*OFFSET(I$112,MATCH($N$1,$C$112:$C$113,0)-1,0)</f>
        <v>12.2</v>
      </c>
      <c r="J37" s="41">
        <f ca="1">22.8*OFFSET(J$112,MATCH($N$1,$C$112:$C$113,0)-1,0)</f>
        <v>22.8</v>
      </c>
      <c r="K37" s="41">
        <f ca="1">19.1*OFFSET(K$112,MATCH($N$1,$C$112:$C$113,0)-1,0)</f>
        <v>19.100000000000001</v>
      </c>
      <c r="L37" s="41">
        <f ca="1">20.4*OFFSET(L$112,MATCH($N$1,$C$112:$C$113,0)-1,0)</f>
        <v>20.399999999999999</v>
      </c>
      <c r="M37" s="41">
        <f ca="1">19.1*OFFSET(M$112,MATCH($N$1,$C$112:$C$113,0)-1,0)</f>
        <v>19.100000000000001</v>
      </c>
      <c r="N37" s="41">
        <v>17.2</v>
      </c>
      <c r="O37" s="28">
        <f t="shared" ca="1" si="0"/>
        <v>0.10967741935483867</v>
      </c>
      <c r="P37" s="28">
        <f t="shared" ca="1" si="1"/>
        <v>-0.24561403508771934</v>
      </c>
    </row>
    <row r="38" spans="1:16" ht="18" customHeight="1">
      <c r="A38" s="178"/>
      <c r="B38" s="35" t="s">
        <v>213</v>
      </c>
      <c r="C38" s="31"/>
      <c r="D38" s="31">
        <f ca="1">4.2*OFFSET(D$112,MATCH($N$1,$C$112:$C$113,0)-1,0)</f>
        <v>4.2</v>
      </c>
      <c r="E38" s="31">
        <f ca="1">3.1*OFFSET(E$112,MATCH($N$1,$C$112:$C$113,0)-1,0)</f>
        <v>3.1</v>
      </c>
      <c r="F38" s="31">
        <f ca="1">3.3*OFFSET(F$112,MATCH($N$1,$C$112:$C$113,0)-1,0)</f>
        <v>3.3</v>
      </c>
      <c r="G38" s="31">
        <f ca="1">4.4*OFFSET(G$112,MATCH($N$1,$C$112:$C$113,0)-1,0)</f>
        <v>4.4000000000000004</v>
      </c>
      <c r="H38" s="31">
        <f ca="1">4.7*OFFSET(H$112,MATCH($N$1,$C$112:$C$113,0)-1,0)</f>
        <v>4.7</v>
      </c>
      <c r="I38" s="31">
        <f ca="1">4.5*OFFSET(I$112,MATCH($N$1,$C$112:$C$113,0)-1,0)</f>
        <v>4.5</v>
      </c>
      <c r="J38" s="31">
        <f ca="1">4.7*OFFSET(J$112,MATCH($N$1,$C$112:$C$113,0)-1,0)</f>
        <v>4.7</v>
      </c>
      <c r="K38" s="31">
        <f ca="1">4.4*OFFSET(K$112,MATCH($N$1,$C$112:$C$113,0)-1,0)</f>
        <v>4.4000000000000004</v>
      </c>
      <c r="L38" s="31">
        <f ca="1">4.6*OFFSET(L$112,MATCH($N$1,$C$112:$C$113,0)-1,0)</f>
        <v>4.5999999999999996</v>
      </c>
      <c r="M38" s="31">
        <f ca="1">4.7*OFFSET(M$112,MATCH($N$1,$C$112:$C$113,0)-1,0)</f>
        <v>4.7</v>
      </c>
      <c r="N38" s="31"/>
      <c r="O38" s="28" t="str">
        <f t="shared" si="0"/>
        <v/>
      </c>
      <c r="P38" s="28" t="str">
        <f t="shared" si="1"/>
        <v/>
      </c>
    </row>
    <row r="39" spans="1:16" ht="18" customHeight="1">
      <c r="A39" s="178"/>
      <c r="B39" s="35" t="s">
        <v>214</v>
      </c>
      <c r="C39" s="31"/>
      <c r="D39" s="31">
        <f ca="1">0.6*OFFSET(D$112,MATCH($N$1,$C$112:$C$113,0)-1,0)</f>
        <v>0.6</v>
      </c>
      <c r="E39" s="31">
        <f ca="1">0.7*OFFSET(E$112,MATCH($N$1,$C$112:$C$113,0)-1,0)</f>
        <v>0.7</v>
      </c>
      <c r="F39" s="31">
        <f ca="1">0.6*OFFSET(F$112,MATCH($N$1,$C$112:$C$113,0)-1,0)</f>
        <v>0.6</v>
      </c>
      <c r="G39" s="31">
        <f ca="1">0.5*OFFSET(G$112,MATCH($N$1,$C$112:$C$113,0)-1,0)</f>
        <v>0.5</v>
      </c>
      <c r="H39" s="31">
        <f ca="1">0.5*OFFSET(H$112,MATCH($N$1,$C$112:$C$113,0)-1,0)</f>
        <v>0.5</v>
      </c>
      <c r="I39" s="31">
        <f ca="1">0.5*OFFSET(I$112,MATCH($N$1,$C$112:$C$113,0)-1,0)</f>
        <v>0.5</v>
      </c>
      <c r="J39" s="31">
        <f ca="1">0.6*OFFSET(J$112,MATCH($N$1,$C$112:$C$113,0)-1,0)</f>
        <v>0.6</v>
      </c>
      <c r="K39" s="31">
        <f ca="1">0.4*OFFSET(K$112,MATCH($N$1,$C$112:$C$113,0)-1,0)</f>
        <v>0.4</v>
      </c>
      <c r="L39" s="31">
        <f ca="1">0.4*OFFSET(L$112,MATCH($N$1,$C$112:$C$113,0)-1,0)</f>
        <v>0.4</v>
      </c>
      <c r="M39" s="31">
        <f ca="1">0.5*OFFSET(M$112,MATCH($N$1,$C$112:$C$113,0)-1,0)</f>
        <v>0.5</v>
      </c>
      <c r="N39" s="31"/>
      <c r="O39" s="28" t="str">
        <f t="shared" si="0"/>
        <v/>
      </c>
      <c r="P39" s="28" t="str">
        <f t="shared" si="1"/>
        <v/>
      </c>
    </row>
    <row r="40" spans="1:16" ht="18" customHeight="1">
      <c r="A40" s="178"/>
      <c r="B40" s="35" t="s">
        <v>215</v>
      </c>
      <c r="C40" s="31"/>
      <c r="D40" s="31">
        <f ca="1">0.1*OFFSET(D$112,MATCH($N$1,$C$112:$C$113,0)-1,0)</f>
        <v>0.1</v>
      </c>
      <c r="E40" s="31">
        <f ca="1">0.4*OFFSET(E$112,MATCH($N$1,$C$112:$C$113,0)-1,0)</f>
        <v>0.4</v>
      </c>
      <c r="F40" s="31">
        <f ca="1">0.4*OFFSET(F$112,MATCH($N$1,$C$112:$C$113,0)-1,0)</f>
        <v>0.4</v>
      </c>
      <c r="G40" s="31">
        <f ca="1">0.6*OFFSET(G$112,MATCH($N$1,$C$112:$C$113,0)-1,0)</f>
        <v>0.6</v>
      </c>
      <c r="H40" s="31">
        <f ca="1">0.7*OFFSET(H$112,MATCH($N$1,$C$112:$C$113,0)-1,0)</f>
        <v>0.7</v>
      </c>
      <c r="I40" s="31">
        <f ca="1">0.6*OFFSET(I$112,MATCH($N$1,$C$112:$C$113,0)-1,0)</f>
        <v>0.6</v>
      </c>
      <c r="J40" s="31">
        <f ca="1">0.5*OFFSET(J$112,MATCH($N$1,$C$112:$C$113,0)-1,0)</f>
        <v>0.5</v>
      </c>
      <c r="K40" s="31">
        <f ca="1">0.3*OFFSET(K$112,MATCH($N$1,$C$112:$C$113,0)-1,0)</f>
        <v>0.3</v>
      </c>
      <c r="L40" s="31">
        <f ca="1">0.4*OFFSET(L$112,MATCH($N$1,$C$112:$C$113,0)-1,0)</f>
        <v>0.4</v>
      </c>
      <c r="M40" s="31">
        <f ca="1">0.4*OFFSET(M$112,MATCH($N$1,$C$112:$C$113,0)-1,0)</f>
        <v>0.4</v>
      </c>
      <c r="N40" s="31"/>
      <c r="O40" s="28" t="str">
        <f t="shared" si="0"/>
        <v/>
      </c>
      <c r="P40" s="28" t="str">
        <f t="shared" si="1"/>
        <v/>
      </c>
    </row>
    <row r="41" spans="1:16" ht="18" customHeight="1" thickBot="1">
      <c r="A41" s="179"/>
      <c r="B41" s="42" t="s">
        <v>216</v>
      </c>
      <c r="C41" s="43"/>
      <c r="D41" s="43">
        <f ca="1">10.7*OFFSET(D$112,MATCH($N$1,$C$112:$C$113,0)-1,0)</f>
        <v>10.7</v>
      </c>
      <c r="E41" s="43">
        <f ca="1">10.9*OFFSET(E$112,MATCH($N$1,$C$112:$C$113,0)-1,0)</f>
        <v>10.9</v>
      </c>
      <c r="F41" s="43">
        <f ca="1">7.3*OFFSET(F$112,MATCH($N$1,$C$112:$C$113,0)-1,0)</f>
        <v>7.3</v>
      </c>
      <c r="G41" s="43">
        <f ca="1">8.7*OFFSET(G$112,MATCH($N$1,$C$112:$C$113,0)-1,0)</f>
        <v>8.6999999999999993</v>
      </c>
      <c r="H41" s="43">
        <f ca="1">7*OFFSET(H$112,MATCH($N$1,$C$112:$C$113,0)-1,0)</f>
        <v>7</v>
      </c>
      <c r="I41" s="43">
        <f ca="1">6.6*OFFSET(I$112,MATCH($N$1,$C$112:$C$113,0)-1,0)</f>
        <v>6.6</v>
      </c>
      <c r="J41" s="43">
        <f ca="1">17*OFFSET(J$112,MATCH($N$1,$C$112:$C$113,0)-1,0)</f>
        <v>17</v>
      </c>
      <c r="K41" s="43">
        <f ca="1">14*OFFSET(K$112,MATCH($N$1,$C$112:$C$113,0)-1,0)</f>
        <v>14</v>
      </c>
      <c r="L41" s="43">
        <f ca="1">15*OFFSET(L$112,MATCH($N$1,$C$112:$C$113,0)-1,0)</f>
        <v>15</v>
      </c>
      <c r="M41" s="43">
        <f ca="1">13.5*OFFSET(M$112,MATCH($N$1,$C$112:$C$113,0)-1,0)</f>
        <v>13.5</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159</v>
      </c>
      <c r="F46" s="90" t="s">
        <v>158</v>
      </c>
      <c r="G46" s="90" t="s">
        <v>159</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Under 10m pots and traps</v>
      </c>
      <c r="B48" s="202"/>
      <c r="C48" s="92"/>
      <c r="D48" s="92"/>
      <c r="E48" s="92"/>
      <c r="F48" s="92"/>
      <c r="G48" s="92"/>
      <c r="H48" s="202"/>
      <c r="I48" s="202"/>
      <c r="J48" s="202"/>
      <c r="K48" s="92" t="str">
        <f>$B24&amp;CHAR(10)&amp;$A$1</f>
        <v>Operating profit per kW day at sea (£)
Under 10m pots and traps</v>
      </c>
      <c r="L48" s="202"/>
      <c r="M48" s="202"/>
      <c r="N48" s="202"/>
      <c r="O48" s="202"/>
      <c r="P48" s="202"/>
    </row>
    <row r="49" spans="1:11" s="80" customFormat="1">
      <c r="A49" s="92" t="str">
        <f>$B22&amp;CHAR(10)&amp;$A$1</f>
        <v>Fishing income per kW day at sea (£)
Under 10m pots and traps</v>
      </c>
      <c r="B49" s="202"/>
      <c r="C49" s="202"/>
      <c r="D49" s="202"/>
      <c r="E49" s="202"/>
      <c r="F49" s="202"/>
      <c r="G49" s="202"/>
      <c r="H49" s="202"/>
      <c r="I49" s="202"/>
      <c r="J49" s="202"/>
      <c r="K49" s="202"/>
    </row>
    <row r="50" spans="1:11" s="80" customFormat="1">
      <c r="A50" s="92" t="str">
        <f>$B20&amp;CHAR(10)&amp;$A$1</f>
        <v>Average price per tonne landed (£)
Under 10m pots and traps</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Under 10m pots and traps</v>
      </c>
      <c r="C62" s="202"/>
      <c r="D62" s="202"/>
      <c r="E62" s="202"/>
      <c r="F62" s="92" t="str">
        <f>$B20&amp;CHAR(10)&amp;$A$1</f>
        <v>Average price per tonne landed (£)
Under 10m pots and traps</v>
      </c>
      <c r="G62" s="202"/>
      <c r="H62" s="202"/>
      <c r="I62" s="202"/>
      <c r="J62" s="202"/>
      <c r="K62" s="92" t="str">
        <f>"Average annual operating profit per vessel (£'000)"&amp;CHAR(10)&amp;$A$1</f>
        <v>Average annual operating profit per vessel (£'000)
Under 10m pots and traps</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Under 10m pots and traps</v>
      </c>
      <c r="F76" s="92" t="str">
        <f>"Top 5 landed species by value in "&amp;A77&amp;CHAR(10)&amp;A1</f>
        <v>Top 5 landed species by value in 2019
Under 10m pots and traps</v>
      </c>
    </row>
    <row r="77" spans="1:11" s="92" customFormat="1">
      <c r="A77" s="92">
        <v>2019</v>
      </c>
      <c r="B77" s="92" t="s">
        <v>597</v>
      </c>
      <c r="C77" s="93">
        <v>0.3788675176958724</v>
      </c>
      <c r="D77" s="94">
        <v>553960</v>
      </c>
      <c r="G77" s="92" t="s">
        <v>598</v>
      </c>
      <c r="H77" s="93">
        <v>0.33051776243611769</v>
      </c>
      <c r="I77" s="94">
        <v>12153634</v>
      </c>
      <c r="K77" s="92" t="s">
        <v>230</v>
      </c>
    </row>
    <row r="78" spans="1:11" s="92" customFormat="1">
      <c r="B78" s="92" t="s">
        <v>599</v>
      </c>
      <c r="C78" s="93">
        <v>0.34970053844883819</v>
      </c>
      <c r="D78" s="94">
        <v>3050596</v>
      </c>
      <c r="G78" s="92" t="s">
        <v>600</v>
      </c>
      <c r="H78" s="93">
        <v>0.25130936573552887</v>
      </c>
      <c r="I78" s="94">
        <v>553960</v>
      </c>
    </row>
    <row r="79" spans="1:11" s="92" customFormat="1">
      <c r="B79" s="92" t="s">
        <v>601</v>
      </c>
      <c r="C79" s="93">
        <v>8.2790322924770343E-2</v>
      </c>
      <c r="D79" s="94">
        <v>12153634</v>
      </c>
      <c r="G79" s="92" t="s">
        <v>602</v>
      </c>
      <c r="H79" s="93">
        <v>0.13474894776875462</v>
      </c>
      <c r="I79" s="94">
        <v>3050596</v>
      </c>
    </row>
    <row r="80" spans="1:11" s="92" customFormat="1">
      <c r="B80" s="92" t="s">
        <v>603</v>
      </c>
      <c r="C80" s="93">
        <v>6.234206566260117E-2</v>
      </c>
      <c r="D80" s="94">
        <v>3689192</v>
      </c>
      <c r="G80" s="92" t="s">
        <v>604</v>
      </c>
      <c r="H80" s="93">
        <v>0.11877136420083888</v>
      </c>
      <c r="I80" s="94">
        <v>1692097</v>
      </c>
    </row>
    <row r="81" spans="1:19" s="92" customFormat="1">
      <c r="B81" s="92" t="s">
        <v>605</v>
      </c>
      <c r="C81" s="93">
        <v>3.9490744065159872E-2</v>
      </c>
      <c r="D81" s="94">
        <v>1692097</v>
      </c>
      <c r="G81" s="92" t="s">
        <v>606</v>
      </c>
      <c r="H81" s="93">
        <v>4.9286782248782482E-2</v>
      </c>
      <c r="I81" s="94">
        <v>3689192</v>
      </c>
    </row>
    <row r="82" spans="1:19" s="92" customFormat="1">
      <c r="B82" s="92" t="s">
        <v>607</v>
      </c>
      <c r="C82" s="93">
        <v>8.6808811202758074E-2</v>
      </c>
      <c r="D82" s="94">
        <v>5920853</v>
      </c>
      <c r="G82" s="92" t="s">
        <v>608</v>
      </c>
      <c r="H82" s="93">
        <v>0.11536577760997746</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167</v>
      </c>
      <c r="D92" s="98">
        <v>0.39494175153203903</v>
      </c>
      <c r="E92" s="98">
        <v>0.36502556932876773</v>
      </c>
      <c r="F92" s="98">
        <v>0.34003652663415679</v>
      </c>
      <c r="G92" s="98">
        <v>0.36419418406921011</v>
      </c>
      <c r="H92" s="98">
        <v>0.35296323450458078</v>
      </c>
      <c r="I92" s="98">
        <v>0.3549799561924239</v>
      </c>
      <c r="J92" s="98">
        <v>0.37001449132522973</v>
      </c>
      <c r="K92" s="98">
        <v>0.34332332311956221</v>
      </c>
      <c r="L92" s="98">
        <v>0.33051776243611769</v>
      </c>
      <c r="M92" s="98">
        <v>0.33241946924784321</v>
      </c>
      <c r="O92" s="92">
        <v>12153634</v>
      </c>
    </row>
    <row r="93" spans="1:19" s="92" customFormat="1" hidden="1">
      <c r="B93" s="92">
        <v>2</v>
      </c>
      <c r="C93" s="92" t="s">
        <v>170</v>
      </c>
      <c r="D93" s="98">
        <v>0.18195243066616429</v>
      </c>
      <c r="E93" s="98">
        <v>0.19887113656414013</v>
      </c>
      <c r="F93" s="98">
        <v>0.21913460467890972</v>
      </c>
      <c r="G93" s="98">
        <v>0.21996905331399605</v>
      </c>
      <c r="H93" s="98">
        <v>0.19513409480648133</v>
      </c>
      <c r="I93" s="98">
        <v>0.18724003629137176</v>
      </c>
      <c r="J93" s="98">
        <v>0.2215417344013417</v>
      </c>
      <c r="K93" s="98">
        <v>0.2661791796973853</v>
      </c>
      <c r="L93" s="98">
        <v>0.25130936573552887</v>
      </c>
      <c r="M93" s="98">
        <v>0.17419173690914921</v>
      </c>
      <c r="O93" s="92">
        <v>553960</v>
      </c>
    </row>
    <row r="94" spans="1:19" s="92" customFormat="1" hidden="1">
      <c r="B94" s="92">
        <v>3</v>
      </c>
      <c r="C94" s="92" t="s">
        <v>378</v>
      </c>
      <c r="D94" s="98">
        <v>7.9411016843279406E-2</v>
      </c>
      <c r="E94" s="98">
        <v>0.11513054749764493</v>
      </c>
      <c r="F94" s="98">
        <v>0.15137428864624347</v>
      </c>
      <c r="G94" s="98">
        <v>0.14810159426481262</v>
      </c>
      <c r="H94" s="98">
        <v>0.16970908477680197</v>
      </c>
      <c r="I94" s="98">
        <v>0.15707506835919924</v>
      </c>
      <c r="J94" s="98">
        <v>0.14292730706938964</v>
      </c>
      <c r="K94" s="98">
        <v>0.11895798980968077</v>
      </c>
      <c r="L94" s="98">
        <v>0.13474894776875462</v>
      </c>
      <c r="M94" s="98">
        <v>0.17126135959900818</v>
      </c>
      <c r="O94" s="92">
        <v>3050596</v>
      </c>
    </row>
    <row r="95" spans="1:19" s="92" customFormat="1" hidden="1">
      <c r="B95" s="92">
        <v>4</v>
      </c>
      <c r="C95" s="92" t="s">
        <v>160</v>
      </c>
      <c r="D95" s="98">
        <v>0.17945932609308093</v>
      </c>
      <c r="E95" s="98">
        <v>0.16247934641206993</v>
      </c>
      <c r="F95" s="98">
        <v>0.15990272546177953</v>
      </c>
      <c r="G95" s="98">
        <v>0.13795101368633267</v>
      </c>
      <c r="H95" s="98">
        <v>0.13848288586096147</v>
      </c>
      <c r="I95" s="98">
        <v>0.13288444592665466</v>
      </c>
      <c r="J95" s="98">
        <v>0.12102599100790816</v>
      </c>
      <c r="K95" s="98">
        <v>0.13122629878249964</v>
      </c>
      <c r="L95" s="98">
        <v>0.11877136420083888</v>
      </c>
      <c r="M95" s="98">
        <v>0.12527643857305734</v>
      </c>
      <c r="O95" s="92">
        <v>1692097</v>
      </c>
    </row>
    <row r="96" spans="1:19" s="92" customFormat="1" hidden="1">
      <c r="B96" s="92">
        <v>5</v>
      </c>
      <c r="C96" s="92" t="s">
        <v>379</v>
      </c>
      <c r="D96" s="98">
        <v>9.0438671178624586E-2</v>
      </c>
      <c r="E96" s="98">
        <v>7.8410383988516227E-2</v>
      </c>
      <c r="F96" s="98">
        <v>5.9482192273110968E-2</v>
      </c>
      <c r="G96" s="98">
        <v>5.7562983323076494E-2</v>
      </c>
      <c r="H96" s="98">
        <v>5.6248885906698916E-2</v>
      </c>
      <c r="I96" s="98">
        <v>5.5268666611520821E-2</v>
      </c>
      <c r="J96" s="98">
        <v>5.7635457025674929E-2</v>
      </c>
      <c r="K96" s="98">
        <v>4.782274144942928E-2</v>
      </c>
      <c r="L96" s="98">
        <v>4.9286782248782482E-2</v>
      </c>
      <c r="M96" s="98"/>
      <c r="O96" s="92">
        <v>3689192</v>
      </c>
    </row>
    <row r="97" spans="1:15" s="92" customFormat="1" hidden="1">
      <c r="B97" s="92">
        <v>6</v>
      </c>
      <c r="C97" s="92" t="s">
        <v>245</v>
      </c>
      <c r="D97" s="98">
        <v>7.3796803686811727E-2</v>
      </c>
      <c r="E97" s="98">
        <v>8.0083016208861046E-2</v>
      </c>
      <c r="F97" s="98">
        <v>7.0069662305799529E-2</v>
      </c>
      <c r="G97" s="98">
        <v>7.2221171342572082E-2</v>
      </c>
      <c r="H97" s="98">
        <v>8.7461814144475541E-2</v>
      </c>
      <c r="I97" s="98">
        <v>0.11255182661882963</v>
      </c>
      <c r="J97" s="98">
        <v>8.6855019170455836E-2</v>
      </c>
      <c r="K97" s="98">
        <v>9.2490467141442823E-2</v>
      </c>
      <c r="L97" s="98">
        <v>0.11536577760997743</v>
      </c>
      <c r="M97" s="98">
        <v>0.1361658428726524</v>
      </c>
      <c r="O97" s="92">
        <v>5920853</v>
      </c>
    </row>
    <row r="98" spans="1:15" s="92" customFormat="1" hidden="1">
      <c r="B98" s="92">
        <v>7</v>
      </c>
      <c r="D98" s="98"/>
      <c r="E98" s="98"/>
      <c r="F98" s="98"/>
      <c r="G98" s="98"/>
      <c r="H98" s="98"/>
      <c r="I98" s="98"/>
      <c r="J98" s="98"/>
      <c r="K98" s="98"/>
      <c r="L98" s="98"/>
      <c r="M98" s="98"/>
      <c r="O98" s="92">
        <v>2480382</v>
      </c>
    </row>
    <row r="99" spans="1:15" s="92" customFormat="1" hidden="1">
      <c r="B99" s="92">
        <v>8</v>
      </c>
      <c r="D99" s="98"/>
      <c r="E99" s="98"/>
      <c r="F99" s="98"/>
      <c r="G99" s="98"/>
      <c r="H99" s="98"/>
      <c r="I99" s="98"/>
      <c r="J99" s="98"/>
      <c r="K99" s="98"/>
      <c r="L99" s="98"/>
      <c r="M99" s="98"/>
      <c r="O99" s="92">
        <v>7434864</v>
      </c>
    </row>
    <row r="100" spans="1:15" s="92" customFormat="1" hidden="1">
      <c r="B100" s="92">
        <v>9</v>
      </c>
      <c r="D100" s="98"/>
      <c r="E100" s="98"/>
      <c r="F100" s="98"/>
      <c r="G100" s="98"/>
      <c r="H100" s="98"/>
      <c r="I100" s="98"/>
      <c r="J100" s="98"/>
      <c r="K100" s="98"/>
      <c r="L100" s="98"/>
      <c r="M100" s="98"/>
      <c r="O100" s="92">
        <v>8497745</v>
      </c>
    </row>
    <row r="101" spans="1:15" s="92" customFormat="1" hidden="1">
      <c r="B101" s="92">
        <v>10</v>
      </c>
      <c r="D101" s="98"/>
      <c r="E101" s="98"/>
      <c r="F101" s="98"/>
      <c r="G101" s="98"/>
      <c r="H101" s="98"/>
      <c r="I101" s="98"/>
      <c r="J101" s="98"/>
      <c r="K101" s="98"/>
      <c r="L101" s="98"/>
      <c r="M101" s="98"/>
      <c r="O101" s="92">
        <v>14393110</v>
      </c>
    </row>
    <row r="102" spans="1:15" s="92" customFormat="1" hidden="1">
      <c r="B102" s="92">
        <v>11</v>
      </c>
      <c r="D102" s="98"/>
      <c r="E102" s="98"/>
      <c r="F102" s="98"/>
      <c r="G102" s="98"/>
      <c r="H102" s="98"/>
      <c r="I102" s="98"/>
      <c r="J102" s="98"/>
      <c r="K102" s="98"/>
      <c r="L102" s="98"/>
      <c r="M102" s="98"/>
      <c r="O102" s="92">
        <v>2887140</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7</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305</v>
      </c>
      <c r="D120" s="54">
        <v>610</v>
      </c>
      <c r="E120" s="54">
        <v>305</v>
      </c>
      <c r="F120" s="55">
        <v>1220</v>
      </c>
    </row>
    <row r="121" spans="1:15" ht="18" customHeight="1">
      <c r="A121" s="173" t="s">
        <v>191</v>
      </c>
      <c r="B121" s="33" t="s">
        <v>192</v>
      </c>
      <c r="C121" s="56">
        <v>7.9816393852233887</v>
      </c>
      <c r="D121" s="56">
        <v>8.1046719551086426</v>
      </c>
      <c r="E121" s="56">
        <v>7.7698359489440918</v>
      </c>
      <c r="F121" s="57">
        <v>7.9902048110961914</v>
      </c>
      <c r="G121" s="206"/>
      <c r="H121" s="206"/>
      <c r="I121" s="206"/>
      <c r="J121" s="206"/>
      <c r="K121" s="206"/>
      <c r="L121" s="206"/>
      <c r="M121" s="206"/>
      <c r="N121" s="206"/>
      <c r="O121" s="206"/>
    </row>
    <row r="122" spans="1:15" ht="18" customHeight="1">
      <c r="A122" s="174"/>
      <c r="B122" s="35" t="s">
        <v>184</v>
      </c>
      <c r="C122" s="58">
        <v>82.016395568847656</v>
      </c>
      <c r="D122" s="58">
        <v>81.167213439941406</v>
      </c>
      <c r="E122" s="58">
        <v>67.839347839355469</v>
      </c>
      <c r="F122" s="59">
        <v>78.047538757324219</v>
      </c>
      <c r="G122" s="206"/>
      <c r="H122" s="206"/>
      <c r="I122" s="206"/>
      <c r="J122" s="206"/>
      <c r="K122" s="206"/>
      <c r="L122" s="206"/>
      <c r="M122" s="206"/>
      <c r="N122" s="206"/>
      <c r="O122" s="206"/>
    </row>
    <row r="123" spans="1:15" ht="18" customHeight="1">
      <c r="A123" s="174"/>
      <c r="B123" s="35" t="s">
        <v>185</v>
      </c>
      <c r="C123" s="58">
        <v>4.5855264663696289</v>
      </c>
      <c r="D123" s="58">
        <v>4.7117862701416016</v>
      </c>
      <c r="E123" s="58">
        <v>4.2183222770690918</v>
      </c>
      <c r="F123" s="59">
        <v>4.5567460060119629</v>
      </c>
      <c r="G123" s="206"/>
      <c r="H123" s="206"/>
      <c r="I123" s="206"/>
      <c r="J123" s="206"/>
      <c r="K123" s="206"/>
      <c r="L123" s="206"/>
      <c r="M123" s="206"/>
      <c r="N123" s="206"/>
      <c r="O123" s="206"/>
    </row>
    <row r="124" spans="1:15" ht="18" customHeight="1">
      <c r="A124" s="174"/>
      <c r="B124" s="35" t="s">
        <v>186</v>
      </c>
      <c r="C124" s="58">
        <v>63.094570159912109</v>
      </c>
      <c r="D124" s="58">
        <v>63.152942657470703</v>
      </c>
      <c r="E124" s="58">
        <v>54.57037353515625</v>
      </c>
      <c r="F124" s="59">
        <v>60.992706298828125</v>
      </c>
      <c r="G124" s="206"/>
      <c r="H124" s="206"/>
      <c r="I124" s="206"/>
      <c r="J124" s="206"/>
      <c r="K124" s="206"/>
      <c r="L124" s="206"/>
      <c r="M124" s="206"/>
      <c r="N124" s="206"/>
      <c r="O124" s="206"/>
    </row>
    <row r="125" spans="1:15" ht="18" customHeight="1">
      <c r="A125" s="174"/>
      <c r="B125" s="35" t="s">
        <v>187</v>
      </c>
      <c r="C125" s="31">
        <v>35.611858367919922</v>
      </c>
      <c r="D125" s="31">
        <v>19.393580436706543</v>
      </c>
      <c r="E125" s="31">
        <v>9.339691162109375</v>
      </c>
      <c r="F125" s="60">
        <v>20.934677124023438</v>
      </c>
      <c r="G125" s="206"/>
      <c r="H125" s="206"/>
      <c r="I125" s="206"/>
      <c r="J125" s="206"/>
      <c r="K125" s="206"/>
      <c r="L125" s="206"/>
      <c r="M125" s="206"/>
      <c r="N125" s="206"/>
      <c r="O125" s="206"/>
    </row>
    <row r="126" spans="1:15" ht="18" customHeight="1">
      <c r="A126" s="174"/>
      <c r="B126" s="35" t="s">
        <v>193</v>
      </c>
      <c r="C126" s="31">
        <f ca="1">129.9427421875*OFFSET($L$112,MATCH($N$1,$C$112:$C$113,0)-1,0)</f>
        <v>129.94274218749999</v>
      </c>
      <c r="D126" s="31">
        <f ca="1">71.5243671875*OFFSET($L$112,MATCH($N$1,$C$112:$C$113,0)-1,0)</f>
        <v>71.524367187500005</v>
      </c>
      <c r="E126" s="31">
        <f ca="1">33.31638671875*OFFSET($L$112,MATCH($N$1,$C$112:$C$113,0)-1,0)</f>
        <v>33.316386718750003</v>
      </c>
      <c r="F126" s="60">
        <f ca="1">76.5769609375*OFFSET($L$112,MATCH($N$1,$C$112:$C$113,0)-1,0)</f>
        <v>76.576960937500004</v>
      </c>
      <c r="G126" s="206"/>
      <c r="H126" s="206"/>
      <c r="I126" s="206"/>
      <c r="J126" s="206"/>
      <c r="K126" s="206"/>
      <c r="L126" s="206"/>
      <c r="M126" s="206"/>
      <c r="N126" s="206"/>
      <c r="O126" s="206"/>
    </row>
    <row r="127" spans="1:15" ht="18" customHeight="1">
      <c r="A127" s="174"/>
      <c r="B127" s="35" t="s">
        <v>189</v>
      </c>
      <c r="C127" s="58">
        <v>63.465572357177734</v>
      </c>
      <c r="D127" s="58">
        <v>89.114753723144531</v>
      </c>
      <c r="E127" s="58">
        <v>102.49507904052734</v>
      </c>
      <c r="F127" s="59">
        <v>86.047538757324219</v>
      </c>
      <c r="G127" s="206"/>
      <c r="H127" s="206"/>
      <c r="I127" s="206"/>
      <c r="J127" s="206"/>
      <c r="K127" s="206"/>
      <c r="L127" s="206"/>
      <c r="M127" s="206"/>
      <c r="N127" s="206"/>
      <c r="O127" s="206"/>
    </row>
    <row r="128" spans="1:15" ht="18" customHeight="1">
      <c r="A128" s="174"/>
      <c r="B128" s="35" t="s">
        <v>194</v>
      </c>
      <c r="C128" s="58">
        <v>22.101638793945313</v>
      </c>
      <c r="D128" s="58">
        <v>23.798360824584961</v>
      </c>
      <c r="E128" s="58">
        <v>26.229507446289063</v>
      </c>
      <c r="F128" s="59">
        <v>23.981967926025391</v>
      </c>
      <c r="G128" s="206"/>
      <c r="H128" s="206"/>
      <c r="I128" s="206"/>
      <c r="J128" s="206"/>
      <c r="K128" s="206"/>
      <c r="L128" s="206"/>
      <c r="M128" s="206"/>
      <c r="N128" s="206"/>
      <c r="O128" s="206"/>
    </row>
    <row r="129" spans="1:15" ht="18" customHeight="1">
      <c r="A129" s="174"/>
      <c r="B129" s="35" t="s">
        <v>195</v>
      </c>
      <c r="C129" s="61">
        <v>0.56112086772918701</v>
      </c>
      <c r="D129" s="61">
        <v>0.21762479978295354</v>
      </c>
      <c r="E129" s="61">
        <v>9.1123312711715698E-2</v>
      </c>
      <c r="F129" s="62">
        <v>0.24329198896884918</v>
      </c>
      <c r="G129" s="206"/>
      <c r="H129" s="206"/>
      <c r="I129" s="206"/>
      <c r="J129" s="206"/>
      <c r="K129" s="206"/>
      <c r="L129" s="206"/>
      <c r="M129" s="206"/>
      <c r="N129" s="206"/>
      <c r="O129" s="206"/>
    </row>
    <row r="130" spans="1:15" ht="18" customHeight="1">
      <c r="A130" s="175"/>
      <c r="B130" s="37" t="s">
        <v>196</v>
      </c>
      <c r="C130" s="38">
        <f ca="1">3648.861591131*OFFSET($L$112,MATCH($N$1,$C$112:$C$113,0)-1,0)</f>
        <v>3648.8615911309998</v>
      </c>
      <c r="D130" s="38">
        <f ca="1">3688.04344411436*OFFSET($L$112,MATCH($N$1,$C$112:$C$113,0)-1,0)</f>
        <v>3688.0434441143602</v>
      </c>
      <c r="E130" s="38">
        <f ca="1">3567.18291220515*OFFSET($L$112,MATCH($N$1,$C$112:$C$113,0)-1,0)</f>
        <v>3567.1829122051499</v>
      </c>
      <c r="F130" s="63">
        <f ca="1">3658*OFFSET($L$112,MATCH($N$1,$C$112:$C$113,0)-1,0)</f>
        <v>3658</v>
      </c>
      <c r="G130" s="206"/>
      <c r="H130" s="206"/>
      <c r="I130" s="206"/>
      <c r="J130" s="206"/>
      <c r="K130" s="206"/>
      <c r="L130" s="206"/>
      <c r="M130" s="206"/>
      <c r="N130" s="206"/>
      <c r="O130" s="206"/>
    </row>
    <row r="131" spans="1:15" ht="18" customHeight="1">
      <c r="A131" s="184" t="s">
        <v>197</v>
      </c>
      <c r="B131" s="33" t="s">
        <v>198</v>
      </c>
      <c r="C131" s="64">
        <v>5.5406771614867747</v>
      </c>
      <c r="D131" s="64">
        <v>2.3693685245382303</v>
      </c>
      <c r="E131" s="64">
        <v>1.3137368167433574</v>
      </c>
      <c r="F131" s="65">
        <v>2.7999837222470023</v>
      </c>
      <c r="G131" s="206"/>
      <c r="H131" s="206"/>
      <c r="I131" s="206"/>
      <c r="J131" s="206"/>
      <c r="K131" s="206"/>
      <c r="L131" s="206"/>
      <c r="M131" s="206"/>
      <c r="N131" s="206"/>
      <c r="O131" s="206"/>
    </row>
    <row r="132" spans="1:15" ht="18" customHeight="1">
      <c r="A132" s="185"/>
      <c r="B132" s="35" t="s">
        <v>199</v>
      </c>
      <c r="C132" s="61">
        <f ca="1">20.2171640834058*OFFSET($L$112,MATCH($N$1,$C$112:$C$113,0)-1,0)</f>
        <v>20.217164083405802</v>
      </c>
      <c r="D132" s="61">
        <f ca="1">8.73833405361412*OFFSET($L$112,MATCH($N$1,$C$112:$C$113,0)-1,0)</f>
        <v>8.7383340536141194</v>
      </c>
      <c r="E132" s="61">
        <f ca="1">4.68633952382169*OFFSET($L$112,MATCH($N$1,$C$112:$C$113,0)-1,0)</f>
        <v>4.6863395238216903</v>
      </c>
      <c r="F132" s="62">
        <f ca="1">10.2420611912899*OFFSET($L$112,MATCH($N$1,$C$112:$C$113,0)-1,0)</f>
        <v>10.242061191289899</v>
      </c>
      <c r="G132" s="206"/>
      <c r="H132" s="206"/>
      <c r="I132" s="206"/>
      <c r="J132" s="206"/>
      <c r="K132" s="206"/>
      <c r="L132" s="206"/>
      <c r="M132" s="206"/>
      <c r="N132" s="206"/>
      <c r="O132" s="206"/>
    </row>
    <row r="133" spans="1:15" ht="18" customHeight="1">
      <c r="A133" s="185"/>
      <c r="B133" s="35" t="s">
        <v>154</v>
      </c>
      <c r="C133" s="61">
        <f ca="1">14.235364509928*OFFSET($L$112,MATCH($N$1,$C$112:$C$113,0)-1,0)</f>
        <v>14.235364509928001</v>
      </c>
      <c r="D133" s="61">
        <f ca="1">6.6536375631568*OFFSET($L$112,MATCH($N$1,$C$112:$C$113,0)-1,0)</f>
        <v>6.6536375631568001</v>
      </c>
      <c r="E133" s="61">
        <f ca="1">4.12644422063117*OFFSET($L$112,MATCH($N$1,$C$112:$C$113,0)-1,0)</f>
        <v>4.1264442206311696</v>
      </c>
      <c r="F133" s="62">
        <f ca="1">7.68229509460036*OFFSET($L$112,MATCH($N$1,$C$112:$C$113,0)-1,0)</f>
        <v>7.6822950946003603</v>
      </c>
      <c r="G133" s="206"/>
      <c r="H133" s="206"/>
      <c r="I133" s="206"/>
      <c r="J133" s="206"/>
      <c r="K133" s="206"/>
      <c r="L133" s="206"/>
      <c r="M133" s="206"/>
      <c r="N133" s="206"/>
      <c r="O133" s="206"/>
    </row>
    <row r="134" spans="1:15" ht="18" customHeight="1">
      <c r="A134" s="186"/>
      <c r="B134" s="37" t="s">
        <v>155</v>
      </c>
      <c r="C134" s="66">
        <f ca="1">5.98179957347783*OFFSET($L$112,MATCH($N$1,$C$112:$C$113,0)-1,0)</f>
        <v>5.9817995734778302</v>
      </c>
      <c r="D134" s="66">
        <f ca="1">2.08469649045732*OFFSET($L$112,MATCH($N$1,$C$112:$C$113,0)-1,0)</f>
        <v>2.0846964904573202</v>
      </c>
      <c r="E134" s="66">
        <f ca="1">0.55989530319052*OFFSET($L$112,MATCH($N$1,$C$112:$C$113,0)-1,0)</f>
        <v>0.55989530319052006</v>
      </c>
      <c r="F134" s="67">
        <f ca="1">2.55976609668953*OFFSET($L$112,MATCH($N$1,$C$112:$C$113,0)-1,0)</f>
        <v>2.5597660966895299</v>
      </c>
      <c r="G134" s="206"/>
      <c r="H134" s="206"/>
      <c r="I134" s="206"/>
      <c r="J134" s="206"/>
      <c r="K134" s="206"/>
      <c r="L134" s="206"/>
      <c r="M134" s="206"/>
      <c r="N134" s="206"/>
      <c r="O134" s="206"/>
    </row>
    <row r="135" spans="1:15" ht="18" customHeight="1">
      <c r="A135" s="187" t="s">
        <v>254</v>
      </c>
      <c r="B135" s="35" t="s">
        <v>255</v>
      </c>
      <c r="C135" s="68">
        <f ca="1">4.98163671875*OFFSET($L$112,MATCH($N$1,$C$112:$C$113,0)-1,0)</f>
        <v>4.9816367187499999</v>
      </c>
      <c r="D135" s="68">
        <f ca="1">6.84097241210937*OFFSET($L$112,MATCH($N$1,$C$112:$C$113,0)-1,0)</f>
        <v>6.8409724121093696</v>
      </c>
      <c r="E135" s="68">
        <f ca="1">7.15437841796875*OFFSET($L$112,MATCH($N$1,$C$112:$C$113,0)-1,0)</f>
        <v>7.1543784179687497</v>
      </c>
      <c r="F135" s="69">
        <f ca="1">6.45448974609375*OFFSET($L$112,MATCH($N$1,$C$112:$C$113,0)-1,0)</f>
        <v>6.45448974609375</v>
      </c>
      <c r="G135" s="206"/>
      <c r="H135" s="206"/>
      <c r="I135" s="206"/>
      <c r="J135" s="206"/>
      <c r="K135" s="206"/>
      <c r="L135" s="206"/>
      <c r="M135" s="206"/>
      <c r="N135" s="206"/>
      <c r="O135" s="206"/>
    </row>
    <row r="136" spans="1:15" ht="18" customHeight="1">
      <c r="A136" s="188"/>
      <c r="B136" s="35" t="s">
        <v>256</v>
      </c>
      <c r="C136" s="30">
        <v>9459.1476747363358</v>
      </c>
      <c r="D136" s="30">
        <v>12988.655604180414</v>
      </c>
      <c r="E136" s="30">
        <v>13565.638783553733</v>
      </c>
      <c r="F136" s="70">
        <v>12250.524590163934</v>
      </c>
      <c r="G136" s="206"/>
      <c r="H136" s="206"/>
      <c r="I136" s="206"/>
      <c r="J136" s="206"/>
      <c r="K136" s="206"/>
      <c r="L136" s="206"/>
      <c r="M136" s="206"/>
      <c r="N136" s="206"/>
      <c r="O136" s="206"/>
    </row>
    <row r="137" spans="1:15" ht="18" customHeight="1">
      <c r="A137" s="188"/>
      <c r="B137" s="35" t="s">
        <v>257</v>
      </c>
      <c r="C137" s="30">
        <v>149.04376220703125</v>
      </c>
      <c r="D137" s="30">
        <v>145.7520226620685</v>
      </c>
      <c r="E137" s="30">
        <v>132.35404968261719</v>
      </c>
      <c r="F137" s="70">
        <v>142.3692626953125</v>
      </c>
      <c r="G137" s="206"/>
      <c r="H137" s="206"/>
      <c r="I137" s="206"/>
      <c r="J137" s="206"/>
      <c r="K137" s="206"/>
      <c r="L137" s="206"/>
      <c r="M137" s="206"/>
      <c r="N137" s="206"/>
      <c r="O137" s="206"/>
    </row>
    <row r="138" spans="1:15" ht="18" customHeight="1">
      <c r="A138" s="188"/>
      <c r="B138" s="35" t="s">
        <v>258</v>
      </c>
      <c r="C138" s="30">
        <f ca="1">78.4935285971087*OFFSET($L$112,MATCH($N$1,$C$112:$C$113,0)-1,0)</f>
        <v>78.493528597108707</v>
      </c>
      <c r="D138" s="30">
        <f ca="1">76.7658791198866*OFFSET($L$112,MATCH($N$1,$C$112:$C$113,0)-1,0)</f>
        <v>76.765879119886606</v>
      </c>
      <c r="E138" s="30">
        <f ca="1">69.8021649911588*OFFSET($L$112,MATCH($N$1,$C$112:$C$113,0)-1,0)</f>
        <v>69.802164991158804</v>
      </c>
      <c r="F138" s="70">
        <f ca="1">75.0107421933013*OFFSET($L$112,MATCH($N$1,$C$112:$C$113,0)-1,0)</f>
        <v>75.010742193301297</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139.887019297976*OFFSET($L$112,MATCH($N$1,$C$112:$C$113,0)-1,0)</f>
        <v>139.887019297976</v>
      </c>
      <c r="D139" s="30">
        <f ca="1">352.744168846788*OFFSET($L$112,MATCH($N$1,$C$112:$C$113,0)-1,0)</f>
        <v>352.744168846788</v>
      </c>
      <c r="E139" s="30">
        <f ca="1">766.018735929265*OFFSET($L$112,MATCH($N$1,$C$112:$C$113,0)-1,0)</f>
        <v>766.01873592926495</v>
      </c>
      <c r="F139" s="70">
        <f ca="1">308.315705461105*OFFSET($L$112,MATCH($N$1,$C$112:$C$113,0)-1,0)</f>
        <v>308.31570546110498</v>
      </c>
      <c r="G139" s="206"/>
      <c r="H139" s="206"/>
      <c r="I139" s="46"/>
      <c r="J139" s="206"/>
      <c r="K139" s="71" t="s">
        <v>260</v>
      </c>
      <c r="L139" s="72">
        <f t="shared" ref="L139:M141" ca="1" si="2">C140</f>
        <v>136.00039062499999</v>
      </c>
      <c r="M139" s="72">
        <f t="shared" ca="1" si="2"/>
        <v>74.858677734374993</v>
      </c>
      <c r="N139" s="72">
        <f ca="1">E140</f>
        <v>34.8695234375</v>
      </c>
      <c r="O139" s="72"/>
    </row>
    <row r="140" spans="1:15" ht="18" customHeight="1">
      <c r="A140" s="166" t="s">
        <v>261</v>
      </c>
      <c r="B140" s="33" t="s">
        <v>262</v>
      </c>
      <c r="C140" s="73">
        <f ca="1">136.000390625*OFFSET($L$112,MATCH($N$1,$C$112:$C$113,0)-1,0)</f>
        <v>136.00039062499999</v>
      </c>
      <c r="D140" s="73">
        <f ca="1">74.858677734375*OFFSET($L$112,MATCH($N$1,$C$112:$C$113,0)-1,0)</f>
        <v>74.858677734374993</v>
      </c>
      <c r="E140" s="73">
        <f ca="1">34.8695234375*OFFSET($L$112,MATCH($N$1,$C$112:$C$113,0)-1,0)</f>
        <v>34.8695234375</v>
      </c>
      <c r="F140" s="74">
        <f ca="1">80.1468203125*OFFSET($L$112,MATCH($N$1,$C$112:$C$113,0)-1,0)</f>
        <v>80.146820312499997</v>
      </c>
      <c r="G140" s="206"/>
      <c r="H140" s="206"/>
      <c r="I140" s="46"/>
      <c r="J140" s="206"/>
      <c r="K140" s="71" t="s">
        <v>263</v>
      </c>
      <c r="L140" s="72">
        <f t="shared" ca="1" si="2"/>
        <v>97.553289062499999</v>
      </c>
      <c r="M140" s="72">
        <f t="shared" ca="1" si="2"/>
        <v>57.795173828125002</v>
      </c>
      <c r="N140" s="72">
        <f ca="1">E141</f>
        <v>30.889083984374999</v>
      </c>
      <c r="O140" s="72"/>
    </row>
    <row r="141" spans="1:15" ht="18" customHeight="1">
      <c r="A141" s="167"/>
      <c r="B141" s="35" t="s">
        <v>264</v>
      </c>
      <c r="C141" s="30">
        <f ca="1">97.5532890625*OFFSET($L$112,MATCH($N$1,$C$112:$C$113,0)-1,0)</f>
        <v>97.553289062499999</v>
      </c>
      <c r="D141" s="30">
        <f ca="1">57.795173828125*OFFSET($L$112,MATCH($N$1,$C$112:$C$113,0)-1,0)</f>
        <v>57.795173828125002</v>
      </c>
      <c r="E141" s="30">
        <f ca="1">30.889083984375*OFFSET($L$112,MATCH($N$1,$C$112:$C$113,0)-1,0)</f>
        <v>30.889083984374999</v>
      </c>
      <c r="F141" s="70">
        <f ca="1">61.0081796875*OFFSET($L$112,MATCH($N$1,$C$112:$C$113,0)-1,0)</f>
        <v>61.008179687499997</v>
      </c>
      <c r="G141" s="206"/>
      <c r="H141" s="206"/>
      <c r="I141" s="46"/>
      <c r="J141" s="206"/>
      <c r="K141" s="71" t="s">
        <v>265</v>
      </c>
      <c r="L141" s="72">
        <f t="shared" ca="1" si="2"/>
        <v>38.447101562500002</v>
      </c>
      <c r="M141" s="72">
        <f t="shared" ca="1" si="2"/>
        <v>17.063503906249998</v>
      </c>
      <c r="N141" s="72">
        <f ca="1">E142</f>
        <v>3.9804394531249998</v>
      </c>
      <c r="O141" s="72"/>
    </row>
    <row r="142" spans="1:15" ht="18" customHeight="1">
      <c r="A142" s="168"/>
      <c r="B142" s="37" t="s">
        <v>266</v>
      </c>
      <c r="C142" s="38">
        <f ca="1">38.4471015625*OFFSET($L$112,MATCH($N$1,$C$112:$C$113,0)-1,0)</f>
        <v>38.447101562500002</v>
      </c>
      <c r="D142" s="38">
        <f ca="1">17.06350390625*OFFSET($L$112,MATCH($N$1,$C$112:$C$113,0)-1,0)</f>
        <v>17.063503906249998</v>
      </c>
      <c r="E142" s="38">
        <f ca="1">3.980439453125*OFFSET($L$112,MATCH($N$1,$C$112:$C$113,0)-1,0)</f>
        <v>3.9804394531249998</v>
      </c>
      <c r="F142" s="63">
        <f ca="1">19.138638671875*OFFSET($L$112,MATCH($N$1,$C$112:$C$113,0)-1,0)</f>
        <v>19.138638671875</v>
      </c>
      <c r="G142" s="206"/>
      <c r="H142" s="206"/>
      <c r="I142" s="46"/>
      <c r="J142" s="206"/>
      <c r="K142" s="71" t="s">
        <v>267</v>
      </c>
      <c r="L142" s="75">
        <f ca="1">IFERROR(L140/L$139,"")</f>
        <v>0.71730153578373224</v>
      </c>
      <c r="M142" s="75">
        <f t="shared" ref="M142:N143" ca="1" si="3">IFERROR(M140/M$139,"")</f>
        <v>0.77205710249388426</v>
      </c>
      <c r="N142" s="75">
        <f t="shared" ca="1" si="3"/>
        <v>0.88584760958206021</v>
      </c>
      <c r="O142" s="75"/>
    </row>
    <row r="143" spans="1:15" ht="18" customHeight="1">
      <c r="A143" s="206"/>
      <c r="B143" s="206"/>
      <c r="C143" s="206"/>
      <c r="D143" s="206"/>
      <c r="E143" s="206"/>
      <c r="F143" s="206"/>
      <c r="G143" s="206"/>
      <c r="H143" s="206"/>
      <c r="I143" s="46"/>
      <c r="J143" s="206"/>
      <c r="K143" s="71" t="s">
        <v>268</v>
      </c>
      <c r="L143" s="75">
        <f ca="1">IFERROR(L141/L$139,"")</f>
        <v>0.28269846421626776</v>
      </c>
      <c r="M143" s="75">
        <f t="shared" ca="1" si="3"/>
        <v>0.22794289750611588</v>
      </c>
      <c r="N143" s="75">
        <f t="shared" ca="1" si="3"/>
        <v>0.11415239041793973</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7</v>
      </c>
      <c r="B161" s="51"/>
      <c r="C161" s="76" t="s">
        <v>249</v>
      </c>
      <c r="D161" s="76" t="s">
        <v>270</v>
      </c>
      <c r="E161" s="76" t="s">
        <v>251</v>
      </c>
      <c r="F161" s="76" t="s">
        <v>271</v>
      </c>
      <c r="G161" s="77">
        <v>7</v>
      </c>
      <c r="H161" s="76"/>
      <c r="I161" s="76" t="s">
        <v>249</v>
      </c>
      <c r="J161" s="76" t="s">
        <v>270</v>
      </c>
      <c r="K161" s="76" t="s">
        <v>251</v>
      </c>
      <c r="L161" s="51" t="s">
        <v>271</v>
      </c>
      <c r="R161" s="206"/>
      <c r="S161" s="206"/>
    </row>
    <row r="162" spans="1:19" s="46" customFormat="1">
      <c r="A162" s="47">
        <v>1</v>
      </c>
      <c r="B162" s="51" t="s">
        <v>170</v>
      </c>
      <c r="C162" s="51">
        <v>0.35385128664081589</v>
      </c>
      <c r="D162" s="51">
        <v>0.41034057804575574</v>
      </c>
      <c r="E162" s="51">
        <v>0.38891461000357475</v>
      </c>
      <c r="F162" s="47">
        <v>553960</v>
      </c>
      <c r="G162" s="47">
        <v>1</v>
      </c>
      <c r="H162" s="51" t="s">
        <v>167</v>
      </c>
      <c r="I162" s="51">
        <v>0.28525227572996525</v>
      </c>
      <c r="J162" s="51">
        <v>0.37391540652982497</v>
      </c>
      <c r="K162" s="51">
        <v>0.36813733230565748</v>
      </c>
      <c r="L162" s="47">
        <v>12153634</v>
      </c>
      <c r="R162" s="206"/>
      <c r="S162" s="206"/>
    </row>
    <row r="163" spans="1:19" s="46" customFormat="1">
      <c r="A163" s="47">
        <v>2</v>
      </c>
      <c r="B163" s="51" t="s">
        <v>378</v>
      </c>
      <c r="C163" s="51">
        <v>0.46177830548656501</v>
      </c>
      <c r="D163" s="51">
        <v>0.30133946281543084</v>
      </c>
      <c r="E163" s="51">
        <v>0.15650915945463656</v>
      </c>
      <c r="F163" s="47">
        <v>3050596</v>
      </c>
      <c r="G163" s="47">
        <v>2</v>
      </c>
      <c r="H163" s="51" t="s">
        <v>170</v>
      </c>
      <c r="I163" s="51">
        <v>0.23431838734228091</v>
      </c>
      <c r="J163" s="51">
        <v>0.2767814868878673</v>
      </c>
      <c r="K163" s="51">
        <v>0.24330173699106725</v>
      </c>
      <c r="L163" s="47">
        <v>553960</v>
      </c>
      <c r="N163" s="46" t="s">
        <v>272</v>
      </c>
      <c r="R163" s="206"/>
      <c r="S163" s="206"/>
    </row>
    <row r="164" spans="1:19" s="46" customFormat="1">
      <c r="A164" s="47">
        <v>3</v>
      </c>
      <c r="B164" s="51" t="s">
        <v>167</v>
      </c>
      <c r="C164" s="51">
        <v>6.9862323166008169E-2</v>
      </c>
      <c r="D164" s="51">
        <v>9.3640643258877623E-2</v>
      </c>
      <c r="E164" s="51">
        <v>9.737634416988368E-2</v>
      </c>
      <c r="F164" s="47">
        <v>12153634</v>
      </c>
      <c r="G164" s="47">
        <v>3</v>
      </c>
      <c r="H164" s="51" t="s">
        <v>160</v>
      </c>
      <c r="I164" s="51">
        <v>8.1513288274806417E-2</v>
      </c>
      <c r="J164" s="51">
        <v>0.15562291198227837</v>
      </c>
      <c r="K164" s="51">
        <v>0.12559066607674321</v>
      </c>
      <c r="L164" s="47">
        <v>1692097</v>
      </c>
      <c r="N164" s="46" t="s">
        <v>273</v>
      </c>
      <c r="R164" s="206"/>
      <c r="S164" s="206"/>
    </row>
    <row r="165" spans="1:19" s="46" customFormat="1">
      <c r="A165" s="47">
        <v>4</v>
      </c>
      <c r="B165" s="51" t="s">
        <v>379</v>
      </c>
      <c r="C165" s="51">
        <v>3.3194098929753356E-2</v>
      </c>
      <c r="D165" s="51">
        <v>6.1532845825059017E-2</v>
      </c>
      <c r="E165" s="51">
        <v>0.18364573060302511</v>
      </c>
      <c r="F165" s="47">
        <v>3689192</v>
      </c>
      <c r="G165" s="47">
        <v>4</v>
      </c>
      <c r="H165" s="51" t="s">
        <v>378</v>
      </c>
      <c r="I165" s="51">
        <v>0.18294240714294877</v>
      </c>
      <c r="J165" s="51">
        <v>0.11198112442783702</v>
      </c>
      <c r="K165" s="51">
        <v>5.8735980849375133E-2</v>
      </c>
      <c r="L165" s="47">
        <v>3050596</v>
      </c>
      <c r="R165" s="206"/>
      <c r="S165" s="206"/>
    </row>
    <row r="166" spans="1:19" s="46" customFormat="1">
      <c r="A166" s="47">
        <v>5</v>
      </c>
      <c r="B166" s="51" t="s">
        <v>160</v>
      </c>
      <c r="C166" s="51">
        <v>2.3244540178574639E-2</v>
      </c>
      <c r="D166" s="51">
        <v>5.4570737889332976E-2</v>
      </c>
      <c r="E166" s="51">
        <v>4.4843868608108975E-2</v>
      </c>
      <c r="F166" s="47">
        <v>1692097</v>
      </c>
      <c r="G166" s="47">
        <v>5</v>
      </c>
      <c r="H166" s="51" t="s">
        <v>379</v>
      </c>
      <c r="I166" s="51">
        <v>0</v>
      </c>
      <c r="J166" s="51">
        <v>4.9062320741958737E-2</v>
      </c>
      <c r="K166" s="51">
        <v>0.14072956386833449</v>
      </c>
      <c r="L166" s="47">
        <v>3689192</v>
      </c>
      <c r="R166" s="206"/>
      <c r="S166" s="206"/>
    </row>
    <row r="167" spans="1:19" s="46" customFormat="1">
      <c r="A167" s="47">
        <v>6</v>
      </c>
      <c r="B167" s="51" t="s">
        <v>245</v>
      </c>
      <c r="C167" s="51">
        <v>5.8069445598282976E-2</v>
      </c>
      <c r="D167" s="51">
        <v>7.857573216554381E-2</v>
      </c>
      <c r="E167" s="51">
        <v>0.12871028716077093</v>
      </c>
      <c r="F167" s="47">
        <v>5920853</v>
      </c>
      <c r="G167" s="47">
        <v>6</v>
      </c>
      <c r="H167" s="51" t="s">
        <v>245</v>
      </c>
      <c r="I167" s="51">
        <v>0.14711097069663626</v>
      </c>
      <c r="J167" s="51">
        <v>3.2636749430233647E-2</v>
      </c>
      <c r="K167" s="51">
        <v>6.3504719908822449E-2</v>
      </c>
      <c r="L167" s="47">
        <v>5920853</v>
      </c>
      <c r="R167" s="206"/>
      <c r="S167" s="206"/>
    </row>
    <row r="168" spans="1:19" s="46" customFormat="1">
      <c r="A168" s="47">
        <v>7</v>
      </c>
      <c r="B168" s="51"/>
      <c r="C168" s="51">
        <v>0</v>
      </c>
      <c r="D168" s="51">
        <v>0</v>
      </c>
      <c r="E168" s="51">
        <v>0</v>
      </c>
      <c r="F168" s="47">
        <v>3689192</v>
      </c>
      <c r="G168" s="47">
        <v>7</v>
      </c>
      <c r="H168" s="51"/>
      <c r="I168" s="51">
        <v>6.8862670813362351E-2</v>
      </c>
      <c r="J168" s="51">
        <v>0</v>
      </c>
      <c r="K168" s="51">
        <v>0</v>
      </c>
      <c r="L168" s="47">
        <v>3689192</v>
      </c>
      <c r="R168" s="206"/>
      <c r="S168" s="206"/>
    </row>
    <row r="169" spans="1:19" s="46" customFormat="1">
      <c r="A169" s="47">
        <v>8</v>
      </c>
      <c r="B169" s="51"/>
      <c r="C169" s="51">
        <v>0</v>
      </c>
      <c r="D169" s="51">
        <v>0</v>
      </c>
      <c r="E169" s="51">
        <v>0</v>
      </c>
      <c r="F169" s="47">
        <v>3689192</v>
      </c>
      <c r="G169" s="47">
        <v>8</v>
      </c>
      <c r="H169" s="51"/>
      <c r="I169" s="51">
        <v>6.8862670813362351E-2</v>
      </c>
      <c r="J169" s="51">
        <v>0</v>
      </c>
      <c r="K169" s="51">
        <v>0</v>
      </c>
      <c r="L169" s="47">
        <v>3689192</v>
      </c>
      <c r="R169" s="206"/>
      <c r="S169" s="206"/>
    </row>
    <row r="170" spans="1:19" s="46" customFormat="1">
      <c r="A170" s="47">
        <v>9</v>
      </c>
      <c r="B170" s="51"/>
      <c r="C170" s="51">
        <v>0</v>
      </c>
      <c r="D170" s="51">
        <v>0</v>
      </c>
      <c r="E170" s="51">
        <v>0</v>
      </c>
      <c r="F170" s="47">
        <v>3689192</v>
      </c>
      <c r="G170" s="47">
        <v>9</v>
      </c>
      <c r="H170" s="51"/>
      <c r="I170" s="51">
        <v>6.8862670813362351E-2</v>
      </c>
      <c r="J170" s="51">
        <v>0</v>
      </c>
      <c r="K170" s="51">
        <v>0</v>
      </c>
      <c r="L170" s="47">
        <v>3689192</v>
      </c>
      <c r="R170" s="206"/>
      <c r="S170" s="206"/>
    </row>
    <row r="171" spans="1:19" s="46" customFormat="1">
      <c r="A171" s="47">
        <v>10</v>
      </c>
      <c r="B171" s="51"/>
      <c r="C171" s="51">
        <v>0</v>
      </c>
      <c r="D171" s="51">
        <v>0</v>
      </c>
      <c r="E171" s="51">
        <v>0</v>
      </c>
      <c r="F171" s="47">
        <v>3689192</v>
      </c>
      <c r="G171" s="47">
        <v>10</v>
      </c>
      <c r="H171" s="51"/>
      <c r="I171" s="51">
        <v>6.8862670813362351E-2</v>
      </c>
      <c r="J171" s="51">
        <v>0</v>
      </c>
      <c r="K171" s="51">
        <v>0</v>
      </c>
      <c r="L171" s="47">
        <v>3689192</v>
      </c>
      <c r="R171" s="206"/>
      <c r="S171" s="206"/>
    </row>
    <row r="172" spans="1:19" s="46" customFormat="1">
      <c r="A172" s="47">
        <v>11</v>
      </c>
      <c r="B172" s="51"/>
      <c r="C172" s="51">
        <v>0</v>
      </c>
      <c r="D172" s="51">
        <v>0</v>
      </c>
      <c r="E172" s="51">
        <v>0</v>
      </c>
      <c r="F172" s="47">
        <v>3689192</v>
      </c>
      <c r="G172" s="47">
        <v>11</v>
      </c>
      <c r="H172" s="51"/>
      <c r="I172" s="51">
        <v>6.8862670813362351E-2</v>
      </c>
      <c r="J172" s="51">
        <v>0</v>
      </c>
      <c r="K172" s="51">
        <v>0</v>
      </c>
      <c r="L172" s="47">
        <v>3689192</v>
      </c>
      <c r="R172" s="206"/>
      <c r="S172" s="206"/>
    </row>
    <row r="173" spans="1:19" s="46" customFormat="1">
      <c r="A173" s="47">
        <v>12</v>
      </c>
      <c r="B173" s="51"/>
      <c r="C173" s="51">
        <v>0</v>
      </c>
      <c r="D173" s="51">
        <v>0</v>
      </c>
      <c r="E173" s="51">
        <v>0</v>
      </c>
      <c r="F173" s="47">
        <v>3689192</v>
      </c>
      <c r="G173" s="47">
        <v>12</v>
      </c>
      <c r="H173" s="51"/>
      <c r="I173" s="51">
        <v>6.8862670813362351E-2</v>
      </c>
      <c r="J173" s="51">
        <v>0</v>
      </c>
      <c r="K173" s="51">
        <v>0</v>
      </c>
      <c r="L173" s="47">
        <v>3689192</v>
      </c>
      <c r="R173" s="206"/>
      <c r="S173" s="206"/>
    </row>
    <row r="174" spans="1:19" s="46" customFormat="1">
      <c r="A174" s="47">
        <v>13</v>
      </c>
      <c r="B174" s="51"/>
      <c r="C174" s="51">
        <v>0</v>
      </c>
      <c r="D174" s="51">
        <v>0</v>
      </c>
      <c r="E174" s="51">
        <v>0</v>
      </c>
      <c r="F174" s="47">
        <v>3689192</v>
      </c>
      <c r="G174" s="47">
        <v>13</v>
      </c>
      <c r="H174" s="51"/>
      <c r="I174" s="51">
        <v>6.8862670813362351E-2</v>
      </c>
      <c r="J174" s="51">
        <v>0</v>
      </c>
      <c r="K174" s="51">
        <v>0</v>
      </c>
      <c r="L174" s="47">
        <v>3689192</v>
      </c>
      <c r="R174" s="206"/>
      <c r="S174" s="206"/>
    </row>
    <row r="175" spans="1:19" s="46" customFormat="1">
      <c r="A175" s="47">
        <v>14</v>
      </c>
      <c r="B175" s="51"/>
      <c r="C175" s="51">
        <v>0</v>
      </c>
      <c r="D175" s="51">
        <v>0</v>
      </c>
      <c r="E175" s="51">
        <v>0</v>
      </c>
      <c r="F175" s="47">
        <v>3689192</v>
      </c>
      <c r="G175" s="47">
        <v>14</v>
      </c>
      <c r="H175" s="51"/>
      <c r="I175" s="51">
        <v>6.8862670813362351E-2</v>
      </c>
      <c r="J175" s="51">
        <v>0</v>
      </c>
      <c r="K175" s="51">
        <v>0</v>
      </c>
      <c r="L175" s="47">
        <v>3689192</v>
      </c>
      <c r="R175" s="206"/>
      <c r="S175" s="206"/>
    </row>
    <row r="176" spans="1:19" s="46" customFormat="1">
      <c r="A176" s="47">
        <v>15</v>
      </c>
      <c r="B176" s="51"/>
      <c r="C176" s="51">
        <v>0</v>
      </c>
      <c r="D176" s="51">
        <v>0</v>
      </c>
      <c r="E176" s="51">
        <v>0</v>
      </c>
      <c r="F176" s="47">
        <v>3689192</v>
      </c>
      <c r="G176" s="47">
        <v>15</v>
      </c>
      <c r="H176" s="51"/>
      <c r="I176" s="51">
        <v>6.8862670813362351E-2</v>
      </c>
      <c r="J176" s="51">
        <v>0</v>
      </c>
      <c r="K176" s="51">
        <v>0</v>
      </c>
      <c r="L176" s="47">
        <v>3689192</v>
      </c>
      <c r="R176" s="206"/>
      <c r="S176" s="206"/>
    </row>
    <row r="177" spans="1:19" s="46" customFormat="1">
      <c r="A177" s="47">
        <v>16</v>
      </c>
      <c r="B177" s="51"/>
      <c r="C177" s="51">
        <v>0</v>
      </c>
      <c r="D177" s="51">
        <v>0</v>
      </c>
      <c r="E177" s="51">
        <v>0</v>
      </c>
      <c r="F177" s="47">
        <v>3689192</v>
      </c>
      <c r="G177" s="47">
        <v>16</v>
      </c>
      <c r="H177" s="51"/>
      <c r="I177" s="51">
        <v>6.8862670813362351E-2</v>
      </c>
      <c r="J177" s="51">
        <v>0</v>
      </c>
      <c r="K177" s="51">
        <v>0</v>
      </c>
      <c r="L177" s="47">
        <v>3689192</v>
      </c>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FA048497-5272-4E32-8C25-284426B71BB5}">
      <formula1>$C$112:$C$113</formula1>
    </dataValidation>
  </dataValidations>
  <hyperlinks>
    <hyperlink ref="O1:P1" location="Home_page" display="Back to home page" xr:uid="{3251A817-9069-4D2F-AEA7-F0D2850A93B7}"/>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397E95CD-2AC3-41A5-975D-E0C4E553C741}">
          <x14:colorSeries rgb="FF323232"/>
          <x14:colorNegative rgb="FFD00000"/>
          <x14:colorAxis rgb="FF000000"/>
          <x14:colorMarkers rgb="FFD00000"/>
          <x14:colorFirst rgb="FFD00000"/>
          <x14:colorLast rgb="FFD00000"/>
          <x14:colorHigh rgb="FFD00000"/>
          <x14:colorLow rgb="FFD00000"/>
          <x14:sparklines>
            <x14:sparkline>
              <xm:f>'U10m pots and traps'!D3:N3</xm:f>
              <xm:sqref>C3</xm:sqref>
            </x14:sparkline>
            <x14:sparkline>
              <xm:f>'U10m pots and traps'!D4:N4</xm:f>
              <xm:sqref>C4</xm:sqref>
            </x14:sparkline>
            <x14:sparkline>
              <xm:f>'U10m pots and traps'!D5:N5</xm:f>
              <xm:sqref>C5</xm:sqref>
            </x14:sparkline>
            <x14:sparkline>
              <xm:f>'U10m pots and traps'!D6:N6</xm:f>
              <xm:sqref>C6</xm:sqref>
            </x14:sparkline>
            <x14:sparkline>
              <xm:f>'U10m pots and traps'!D7:N7</xm:f>
              <xm:sqref>C7</xm:sqref>
            </x14:sparkline>
            <x14:sparkline>
              <xm:f>'U10m pots and traps'!D8:N8</xm:f>
              <xm:sqref>C8</xm:sqref>
            </x14:sparkline>
            <x14:sparkline>
              <xm:f>'U10m pots and traps'!D9:N9</xm:f>
              <xm:sqref>C9</xm:sqref>
            </x14:sparkline>
            <x14:sparkline>
              <xm:f>'U10m pots and traps'!D10:N10</xm:f>
              <xm:sqref>C10</xm:sqref>
            </x14:sparkline>
            <x14:sparkline>
              <xm:f>'U10m pots and traps'!D11:N11</xm:f>
              <xm:sqref>C11</xm:sqref>
            </x14:sparkline>
            <x14:sparkline>
              <xm:f>'U10m pots and traps'!D12:N12</xm:f>
              <xm:sqref>C12</xm:sqref>
            </x14:sparkline>
            <x14:sparkline>
              <xm:f>'U10m pots and traps'!D13:N13</xm:f>
              <xm:sqref>C13</xm:sqref>
            </x14:sparkline>
            <x14:sparkline>
              <xm:f>'U10m pots and traps'!D14:N14</xm:f>
              <xm:sqref>C14</xm:sqref>
            </x14:sparkline>
            <x14:sparkline>
              <xm:f>'U10m pots and traps'!D15:N15</xm:f>
              <xm:sqref>C15</xm:sqref>
            </x14:sparkline>
            <x14:sparkline>
              <xm:f>'U10m pots and traps'!D16:N16</xm:f>
              <xm:sqref>C16</xm:sqref>
            </x14:sparkline>
            <x14:sparkline>
              <xm:f>'U10m pots and traps'!D17:N17</xm:f>
              <xm:sqref>C17</xm:sqref>
            </x14:sparkline>
            <x14:sparkline>
              <xm:f>'U10m pots and traps'!D18:N18</xm:f>
              <xm:sqref>C18</xm:sqref>
            </x14:sparkline>
            <x14:sparkline>
              <xm:f>'U10m pots and traps'!D19:N19</xm:f>
              <xm:sqref>C19</xm:sqref>
            </x14:sparkline>
            <x14:sparkline>
              <xm:f>'U10m pots and traps'!D20:N20</xm:f>
              <xm:sqref>C20</xm:sqref>
            </x14:sparkline>
            <x14:sparkline>
              <xm:f>'U10m pots and traps'!D21:N21</xm:f>
              <xm:sqref>C21</xm:sqref>
            </x14:sparkline>
            <x14:sparkline>
              <xm:f>'U10m pots and traps'!D22:N22</xm:f>
              <xm:sqref>C22</xm:sqref>
            </x14:sparkline>
            <x14:sparkline>
              <xm:f>'U10m pots and traps'!D23:N23</xm:f>
              <xm:sqref>C23</xm:sqref>
            </x14:sparkline>
            <x14:sparkline>
              <xm:f>'U10m pots and traps'!D24:N24</xm:f>
              <xm:sqref>C24</xm:sqref>
            </x14:sparkline>
            <x14:sparkline>
              <xm:f>'U10m pots and traps'!D25:N25</xm:f>
              <xm:sqref>C25</xm:sqref>
            </x14:sparkline>
            <x14:sparkline>
              <xm:f>'U10m pots and traps'!D26:N26</xm:f>
              <xm:sqref>C26</xm:sqref>
            </x14:sparkline>
            <x14:sparkline>
              <xm:f>'U10m pots and traps'!D27:N27</xm:f>
              <xm:sqref>C27</xm:sqref>
            </x14:sparkline>
            <x14:sparkline>
              <xm:f>'U10m pots and traps'!D28:N28</xm:f>
              <xm:sqref>C28</xm:sqref>
            </x14:sparkline>
            <x14:sparkline>
              <xm:f>'U10m pots and traps'!D29:N29</xm:f>
              <xm:sqref>C29</xm:sqref>
            </x14:sparkline>
            <x14:sparkline>
              <xm:f>'U10m pots and traps'!D30:N30</xm:f>
              <xm:sqref>C30</xm:sqref>
            </x14:sparkline>
            <x14:sparkline>
              <xm:f>'U10m pots and traps'!D31:N31</xm:f>
              <xm:sqref>C31</xm:sqref>
            </x14:sparkline>
            <x14:sparkline>
              <xm:f>'U10m pots and traps'!D32:N32</xm:f>
              <xm:sqref>C32</xm:sqref>
            </x14:sparkline>
            <x14:sparkline>
              <xm:f>'U10m pots and traps'!D33:N33</xm:f>
              <xm:sqref>C33</xm:sqref>
            </x14:sparkline>
            <x14:sparkline>
              <xm:f>'U10m pots and traps'!D34:N34</xm:f>
              <xm:sqref>C34</xm:sqref>
            </x14:sparkline>
            <x14:sparkline>
              <xm:f>'U10m pots and traps'!D35:N35</xm:f>
              <xm:sqref>C35</xm:sqref>
            </x14:sparkline>
            <x14:sparkline>
              <xm:f>'U10m pots and traps'!D36:N36</xm:f>
              <xm:sqref>C36</xm:sqref>
            </x14:sparkline>
            <x14:sparkline>
              <xm:f>'U10m pots and traps'!D37:N37</xm:f>
              <xm:sqref>C37</xm:sqref>
            </x14:sparkline>
            <x14:sparkline>
              <xm:f>'U10m pots and traps'!D38:N38</xm:f>
              <xm:sqref>C38</xm:sqref>
            </x14:sparkline>
            <x14:sparkline>
              <xm:f>'U10m pots and traps'!D39:N39</xm:f>
              <xm:sqref>C39</xm:sqref>
            </x14:sparkline>
            <x14:sparkline>
              <xm:f>'U10m pots and traps'!D40:N40</xm:f>
              <xm:sqref>C40</xm:sqref>
            </x14:sparkline>
            <x14:sparkline>
              <xm:f>'U10m pots and traps'!D41:N41</xm:f>
              <xm:sqref>C41</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02619-32FA-4050-B905-966683D791F5}">
  <sheetPr codeName="Feuil36">
    <pageSetUpPr fitToPage="1"/>
  </sheetPr>
  <dimension ref="A1:S192"/>
  <sheetViews>
    <sheetView topLeftCell="A37"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38</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134</v>
      </c>
      <c r="E3" s="27">
        <v>136</v>
      </c>
      <c r="F3" s="27">
        <v>142</v>
      </c>
      <c r="G3" s="27">
        <v>149</v>
      </c>
      <c r="H3" s="27">
        <v>149</v>
      </c>
      <c r="I3" s="27">
        <v>137</v>
      </c>
      <c r="J3" s="27">
        <v>167</v>
      </c>
      <c r="K3" s="27">
        <v>232</v>
      </c>
      <c r="L3" s="27">
        <v>208</v>
      </c>
      <c r="M3" s="27">
        <v>198</v>
      </c>
      <c r="N3" s="27">
        <v>200</v>
      </c>
      <c r="O3" s="28">
        <f t="shared" ref="O3:O41" si="0">IF(N3=0,"",IFERROR(IF(AND(N3&gt;0,D3&lt;0),"na",IF(AND(N3&lt;0,D3&lt;0),-1,1)*(N3-D3)/D3),""))</f>
        <v>0.4925373134328358</v>
      </c>
      <c r="P3" s="28">
        <f t="shared" ref="P3:P41" si="1">IF(N3=0,"",IFERROR(IF(AND(N3&gt;0,J3&lt;0),"na",IF(AND(N3&lt;0,J3&lt;0),-1,1)*(N3-J3)/J3),""))</f>
        <v>0.19760479041916168</v>
      </c>
      <c r="Q3" s="206"/>
    </row>
    <row r="4" spans="1:17" ht="18" customHeight="1">
      <c r="A4" s="172"/>
      <c r="B4" s="29" t="s">
        <v>184</v>
      </c>
      <c r="C4" s="30"/>
      <c r="D4" s="30">
        <v>9068</v>
      </c>
      <c r="E4" s="30">
        <v>9398</v>
      </c>
      <c r="F4" s="30">
        <v>9212</v>
      </c>
      <c r="G4" s="30">
        <v>10135</v>
      </c>
      <c r="H4" s="30">
        <v>10053</v>
      </c>
      <c r="I4" s="30">
        <v>10086</v>
      </c>
      <c r="J4" s="30">
        <v>10911</v>
      </c>
      <c r="K4" s="30">
        <v>14576</v>
      </c>
      <c r="L4" s="30">
        <v>13916</v>
      </c>
      <c r="M4" s="30">
        <v>13578</v>
      </c>
      <c r="N4" s="30">
        <v>13506</v>
      </c>
      <c r="O4" s="28">
        <f t="shared" si="0"/>
        <v>0.48941332157035727</v>
      </c>
      <c r="P4" s="28">
        <f t="shared" si="1"/>
        <v>0.23783337915864725</v>
      </c>
      <c r="Q4" s="206"/>
    </row>
    <row r="5" spans="1:17" ht="18" customHeight="1">
      <c r="A5" s="172"/>
      <c r="B5" s="29" t="s">
        <v>185</v>
      </c>
      <c r="C5" s="30"/>
      <c r="D5" s="30">
        <v>428.35000610351563</v>
      </c>
      <c r="E5" s="30">
        <v>419.35000610351563</v>
      </c>
      <c r="F5" s="30">
        <v>418</v>
      </c>
      <c r="G5" s="30">
        <v>418</v>
      </c>
      <c r="H5" s="30">
        <v>449.35000610351563</v>
      </c>
      <c r="I5" s="30">
        <v>425</v>
      </c>
      <c r="J5" s="30">
        <v>514</v>
      </c>
      <c r="K5" s="30">
        <v>676.489990234375</v>
      </c>
      <c r="L5" s="30">
        <v>564.489990234375</v>
      </c>
      <c r="M5" s="30">
        <v>575.489990234375</v>
      </c>
      <c r="N5" s="30">
        <v>576</v>
      </c>
      <c r="O5" s="28">
        <f t="shared" si="0"/>
        <v>0.34469473979837667</v>
      </c>
      <c r="P5" s="28">
        <f t="shared" si="1"/>
        <v>0.12062256809338522</v>
      </c>
      <c r="Q5" s="207"/>
    </row>
    <row r="6" spans="1:17" ht="18" customHeight="1">
      <c r="A6" s="172"/>
      <c r="B6" s="29" t="s">
        <v>186</v>
      </c>
      <c r="C6" s="30"/>
      <c r="D6" s="30">
        <v>6788.59912109375</v>
      </c>
      <c r="E6" s="30">
        <v>6948.15966796875</v>
      </c>
      <c r="F6" s="30">
        <v>6816.39599609375</v>
      </c>
      <c r="G6" s="30">
        <v>7312.14453125</v>
      </c>
      <c r="H6" s="30">
        <v>7407.4072265625</v>
      </c>
      <c r="I6" s="30">
        <v>7331.07666015625</v>
      </c>
      <c r="J6" s="30">
        <v>8207.0869140625</v>
      </c>
      <c r="K6" s="30">
        <v>11126.53125</v>
      </c>
      <c r="L6" s="30">
        <v>10247.287109375</v>
      </c>
      <c r="M6" s="30">
        <v>10036.2314453125</v>
      </c>
      <c r="N6" s="30">
        <v>10071.2646484375</v>
      </c>
      <c r="O6" s="28">
        <f t="shared" si="0"/>
        <v>0.48355565983322651</v>
      </c>
      <c r="P6" s="28">
        <f t="shared" si="1"/>
        <v>0.22714243846751633</v>
      </c>
      <c r="Q6" s="206"/>
    </row>
    <row r="7" spans="1:17" ht="18" customHeight="1">
      <c r="A7" s="172"/>
      <c r="B7" s="29" t="s">
        <v>187</v>
      </c>
      <c r="C7" s="30"/>
      <c r="D7" s="30">
        <v>1789.6864013671875</v>
      </c>
      <c r="E7" s="30">
        <v>1766.010986328125</v>
      </c>
      <c r="F7" s="30">
        <v>1978.85009765625</v>
      </c>
      <c r="G7" s="30">
        <v>1749.77783203125</v>
      </c>
      <c r="H7" s="30">
        <v>1492.0423583984375</v>
      </c>
      <c r="I7" s="30">
        <v>1708.530029296875</v>
      </c>
      <c r="J7" s="30">
        <v>2198.673583984375</v>
      </c>
      <c r="K7" s="30">
        <v>2809.7783203125</v>
      </c>
      <c r="L7" s="30">
        <v>2219.70263671875</v>
      </c>
      <c r="M7" s="30">
        <v>2337.367919921875</v>
      </c>
      <c r="N7" s="30">
        <v>2087.56640625</v>
      </c>
      <c r="O7" s="28">
        <f t="shared" si="0"/>
        <v>0.16644257041638932</v>
      </c>
      <c r="P7" s="28">
        <f t="shared" si="1"/>
        <v>-5.0533730219758072E-2</v>
      </c>
      <c r="Q7" s="206"/>
    </row>
    <row r="8" spans="1:17" ht="18" customHeight="1">
      <c r="A8" s="172"/>
      <c r="B8" s="29" t="s">
        <v>188</v>
      </c>
      <c r="C8" s="31"/>
      <c r="D8" s="31">
        <f ca="1">5.523924*OFFSET(D$112,MATCH($N$1,$C$112:$C$113,0)-1,0)</f>
        <v>5.5239240000000001</v>
      </c>
      <c r="E8" s="31">
        <f ca="1">5.4964365*OFFSET(E$112,MATCH($N$1,$C$112:$C$113,0)-1,0)</f>
        <v>5.4964364999999997</v>
      </c>
      <c r="F8" s="31">
        <f ca="1">6.456394*OFFSET(F$112,MATCH($N$1,$C$112:$C$113,0)-1,0)</f>
        <v>6.4563940000000004</v>
      </c>
      <c r="G8" s="31">
        <f ca="1">5.9129865*OFFSET(G$112,MATCH($N$1,$C$112:$C$113,0)-1,0)</f>
        <v>5.9129864999999997</v>
      </c>
      <c r="H8" s="31">
        <f ca="1">5.3363305*OFFSET(H$112,MATCH($N$1,$C$112:$C$113,0)-1,0)</f>
        <v>5.3363304999999999</v>
      </c>
      <c r="I8" s="31">
        <f ca="1">5.9526945*OFFSET(I$112,MATCH($N$1,$C$112:$C$113,0)-1,0)</f>
        <v>5.9526944999999998</v>
      </c>
      <c r="J8" s="31">
        <f ca="1">7.440214*OFFSET(J$112,MATCH($N$1,$C$112:$C$113,0)-1,0)</f>
        <v>7.4402140000000001</v>
      </c>
      <c r="K8" s="31">
        <f ca="1">9.867255*OFFSET(K$112,MATCH($N$1,$C$112:$C$113,0)-1,0)</f>
        <v>9.8672550000000001</v>
      </c>
      <c r="L8" s="31">
        <f ca="1">9.191863*OFFSET(L$112,MATCH($N$1,$C$112:$C$113,0)-1,0)</f>
        <v>9.1918629999999997</v>
      </c>
      <c r="M8" s="31">
        <f ca="1">9.990161*OFFSET(M$112,MATCH($N$1,$C$112:$C$113,0)-1,0)</f>
        <v>9.9901610000000005</v>
      </c>
      <c r="N8" s="31">
        <v>7.2986459999999997</v>
      </c>
      <c r="O8" s="28">
        <f t="shared" ca="1" si="0"/>
        <v>0.32127922107545281</v>
      </c>
      <c r="P8" s="28">
        <f t="shared" ca="1" si="1"/>
        <v>-1.9027409695473861E-2</v>
      </c>
      <c r="Q8" s="206"/>
    </row>
    <row r="9" spans="1:17" ht="18" customHeight="1">
      <c r="A9" s="172"/>
      <c r="B9" s="29" t="s">
        <v>189</v>
      </c>
      <c r="C9" s="30"/>
      <c r="D9" s="30">
        <v>10892</v>
      </c>
      <c r="E9" s="30">
        <v>11220</v>
      </c>
      <c r="F9" s="30">
        <v>11905</v>
      </c>
      <c r="G9" s="30">
        <v>10860</v>
      </c>
      <c r="H9" s="30">
        <v>11465</v>
      </c>
      <c r="I9" s="30">
        <v>11302</v>
      </c>
      <c r="J9" s="30">
        <v>11975</v>
      </c>
      <c r="K9" s="30">
        <v>13884</v>
      </c>
      <c r="L9" s="30">
        <v>12258</v>
      </c>
      <c r="M9" s="30">
        <v>12191</v>
      </c>
      <c r="N9" s="30">
        <v>10324</v>
      </c>
      <c r="O9" s="28">
        <f t="shared" si="0"/>
        <v>-5.2148365773044436E-2</v>
      </c>
      <c r="P9" s="28">
        <f t="shared" si="1"/>
        <v>-0.13787056367432152</v>
      </c>
      <c r="Q9" s="206"/>
    </row>
    <row r="10" spans="1:17" ht="18" customHeight="1">
      <c r="A10" s="172"/>
      <c r="B10" s="29" t="s">
        <v>190</v>
      </c>
      <c r="C10" s="30"/>
      <c r="D10" s="30">
        <v>119.62974548339844</v>
      </c>
      <c r="E10" s="30">
        <v>128.36225891113281</v>
      </c>
      <c r="F10" s="30">
        <v>117.71078491210938</v>
      </c>
      <c r="G10" s="30">
        <v>95.534049987792969</v>
      </c>
      <c r="H10" s="30">
        <v>133.43696594238281</v>
      </c>
      <c r="I10" s="30">
        <v>183.18405151367188</v>
      </c>
      <c r="J10" s="30">
        <v>84.985336303710938</v>
      </c>
      <c r="K10" s="30">
        <v>131.63864135742188</v>
      </c>
      <c r="L10" s="30">
        <v>108.60826110839844</v>
      </c>
      <c r="M10" s="30">
        <v>97.410652160644531</v>
      </c>
      <c r="N10" s="30">
        <v>77.322647094726563</v>
      </c>
      <c r="O10" s="32">
        <f t="shared" si="0"/>
        <v>-0.35365032515715772</v>
      </c>
      <c r="P10" s="32">
        <f t="shared" si="1"/>
        <v>-9.0164839515376238E-2</v>
      </c>
      <c r="Q10" s="206"/>
    </row>
    <row r="11" spans="1:17" ht="18" customHeight="1">
      <c r="A11" s="173" t="s">
        <v>191</v>
      </c>
      <c r="B11" s="33" t="s">
        <v>192</v>
      </c>
      <c r="C11" s="34"/>
      <c r="D11" s="34">
        <v>7.2179102897644043</v>
      </c>
      <c r="E11" s="34">
        <v>7.1501469612121582</v>
      </c>
      <c r="F11" s="34">
        <v>6.9870424270629883</v>
      </c>
      <c r="G11" s="34">
        <v>6.9713420867919922</v>
      </c>
      <c r="H11" s="34">
        <v>7.0336241722106934</v>
      </c>
      <c r="I11" s="34">
        <v>7.2269344329833984</v>
      </c>
      <c r="J11" s="34">
        <v>7.1674251556396484</v>
      </c>
      <c r="K11" s="34">
        <v>7.1288361549377441</v>
      </c>
      <c r="L11" s="34">
        <v>6.9937019348144531</v>
      </c>
      <c r="M11" s="34">
        <v>7.1015152931213379</v>
      </c>
      <c r="N11" s="34">
        <v>7.112800121307373</v>
      </c>
      <c r="O11" s="28">
        <f t="shared" si="0"/>
        <v>-1.4562409927162186E-2</v>
      </c>
      <c r="P11" s="28">
        <f t="shared" si="1"/>
        <v>-7.6212912093395193E-3</v>
      </c>
      <c r="Q11" s="206"/>
    </row>
    <row r="12" spans="1:17" ht="18" customHeight="1">
      <c r="A12" s="174"/>
      <c r="B12" s="35" t="s">
        <v>184</v>
      </c>
      <c r="C12" s="30"/>
      <c r="D12" s="30">
        <v>67.671638488769531</v>
      </c>
      <c r="E12" s="30">
        <v>69.102943420410156</v>
      </c>
      <c r="F12" s="30">
        <v>64.873237609863281</v>
      </c>
      <c r="G12" s="30">
        <v>68.020133972167969</v>
      </c>
      <c r="H12" s="30">
        <v>67.925674438476563</v>
      </c>
      <c r="I12" s="30">
        <v>74.161766052246094</v>
      </c>
      <c r="J12" s="30">
        <v>65.728912353515625</v>
      </c>
      <c r="K12" s="30">
        <v>62.827587127685547</v>
      </c>
      <c r="L12" s="30">
        <v>66.903846740722656</v>
      </c>
      <c r="M12" s="30">
        <v>68.575759887695313</v>
      </c>
      <c r="N12" s="30">
        <v>67.529998779296875</v>
      </c>
      <c r="O12" s="28">
        <f t="shared" si="0"/>
        <v>-2.0930438901100661E-3</v>
      </c>
      <c r="P12" s="28">
        <f t="shared" si="1"/>
        <v>2.7401737854634008E-2</v>
      </c>
      <c r="Q12" s="206"/>
    </row>
    <row r="13" spans="1:17" ht="18" customHeight="1">
      <c r="A13" s="174"/>
      <c r="B13" s="35" t="s">
        <v>185</v>
      </c>
      <c r="C13" s="30"/>
      <c r="D13" s="30">
        <v>3.1966416835784912</v>
      </c>
      <c r="E13" s="30">
        <v>3.0834558010101318</v>
      </c>
      <c r="F13" s="30">
        <v>2.9436619281768799</v>
      </c>
      <c r="G13" s="30">
        <v>2.824324369430542</v>
      </c>
      <c r="H13" s="30">
        <v>3.0361485481262207</v>
      </c>
      <c r="I13" s="30">
        <v>3.125</v>
      </c>
      <c r="J13" s="30">
        <v>3.0963854789733887</v>
      </c>
      <c r="K13" s="30">
        <v>2.9285280704498291</v>
      </c>
      <c r="L13" s="30">
        <v>2.7270047664642334</v>
      </c>
      <c r="M13" s="30">
        <v>2.9212689399719238</v>
      </c>
      <c r="N13" s="30">
        <v>2.8944723606109619</v>
      </c>
      <c r="O13" s="28">
        <f t="shared" si="0"/>
        <v>-9.4527117167935076E-2</v>
      </c>
      <c r="P13" s="28">
        <f t="shared" si="1"/>
        <v>-6.5209296366217084E-2</v>
      </c>
      <c r="Q13" s="206"/>
    </row>
    <row r="14" spans="1:17" ht="18" customHeight="1">
      <c r="A14" s="174"/>
      <c r="B14" s="35" t="s">
        <v>186</v>
      </c>
      <c r="C14" s="30"/>
      <c r="D14" s="30">
        <v>50.661186218261719</v>
      </c>
      <c r="E14" s="30">
        <v>51.089408874511719</v>
      </c>
      <c r="F14" s="30">
        <v>48.002788543701172</v>
      </c>
      <c r="G14" s="30">
        <v>49.074798583984375</v>
      </c>
      <c r="H14" s="30">
        <v>50.050048828125</v>
      </c>
      <c r="I14" s="30">
        <v>53.904975891113281</v>
      </c>
      <c r="J14" s="30">
        <v>49.440284729003906</v>
      </c>
      <c r="K14" s="30">
        <v>47.959182739257813</v>
      </c>
      <c r="L14" s="30">
        <v>49.265804290771484</v>
      </c>
      <c r="M14" s="30">
        <v>50.688037872314453</v>
      </c>
      <c r="N14" s="30">
        <v>50.3563232421875</v>
      </c>
      <c r="O14" s="28">
        <f t="shared" si="0"/>
        <v>-6.0176833357353469E-3</v>
      </c>
      <c r="P14" s="28">
        <f t="shared" si="1"/>
        <v>1.8528180373649915E-2</v>
      </c>
      <c r="Q14" s="206"/>
    </row>
    <row r="15" spans="1:17" ht="18" customHeight="1">
      <c r="A15" s="174"/>
      <c r="B15" s="35" t="s">
        <v>187</v>
      </c>
      <c r="C15" s="31"/>
      <c r="D15" s="31">
        <v>13.355868339538574</v>
      </c>
      <c r="E15" s="31">
        <v>12.985374450683594</v>
      </c>
      <c r="F15" s="31">
        <v>13.935564041137695</v>
      </c>
      <c r="G15" s="31">
        <v>11.743474960327148</v>
      </c>
      <c r="H15" s="31">
        <v>10.013707160949707</v>
      </c>
      <c r="I15" s="31">
        <v>12.47102165222168</v>
      </c>
      <c r="J15" s="31">
        <v>13.16571044921875</v>
      </c>
      <c r="K15" s="31">
        <v>12.111113548278809</v>
      </c>
      <c r="L15" s="31">
        <v>10.671647071838379</v>
      </c>
      <c r="M15" s="31">
        <v>11.804888725280762</v>
      </c>
      <c r="N15" s="31">
        <v>10.437832832336426</v>
      </c>
      <c r="O15" s="28">
        <f t="shared" si="0"/>
        <v>-0.21848339868427921</v>
      </c>
      <c r="P15" s="28">
        <f t="shared" si="1"/>
        <v>-0.20719562589531171</v>
      </c>
      <c r="Q15" s="206"/>
    </row>
    <row r="16" spans="1:17" ht="18" customHeight="1">
      <c r="A16" s="174"/>
      <c r="B16" s="35" t="s">
        <v>193</v>
      </c>
      <c r="C16" s="31"/>
      <c r="D16" s="31">
        <f ca="1">41.22331640625*OFFSET(D$112,MATCH($N$1,$C$112:$C$113,0)-1,0)</f>
        <v>41.223316406249999</v>
      </c>
      <c r="E16" s="31">
        <f ca="1">40.41497265625*OFFSET(E$112,MATCH($N$1,$C$112:$C$113,0)-1,0)</f>
        <v>40.414972656250001</v>
      </c>
      <c r="F16" s="31">
        <f ca="1">45.46756640625*OFFSET(F$112,MATCH($N$1,$C$112:$C$113,0)-1,0)</f>
        <v>45.46756640625</v>
      </c>
      <c r="G16" s="31">
        <f ca="1">39.68447265625*OFFSET(G$112,MATCH($N$1,$C$112:$C$113,0)-1,0)</f>
        <v>39.684472656250001</v>
      </c>
      <c r="H16" s="31">
        <f ca="1">35.81430078125*OFFSET(H$112,MATCH($N$1,$C$112:$C$113,0)-1,0)</f>
        <v>35.814300781249997</v>
      </c>
      <c r="I16" s="31">
        <f ca="1">43.45032421875*OFFSET(I$112,MATCH($N$1,$C$112:$C$113,0)-1,0)</f>
        <v>43.450324218749998</v>
      </c>
      <c r="J16" s="31">
        <f ca="1">44.5521796875*OFFSET(J$112,MATCH($N$1,$C$112:$C$113,0)-1,0)</f>
        <v>44.552179687500001</v>
      </c>
      <c r="K16" s="31">
        <f ca="1">42.5312734375*OFFSET(K$112,MATCH($N$1,$C$112:$C$113,0)-1,0)</f>
        <v>42.531273437499998</v>
      </c>
      <c r="L16" s="31">
        <f ca="1">44.1916484375*OFFSET(L$112,MATCH($N$1,$C$112:$C$113,0)-1,0)</f>
        <v>44.1916484375</v>
      </c>
      <c r="M16" s="31">
        <f ca="1">50.455359375*OFFSET(M$112,MATCH($N$1,$C$112:$C$113,0)-1,0)</f>
        <v>50.455359375</v>
      </c>
      <c r="N16" s="31">
        <v>36.493230468749999</v>
      </c>
      <c r="O16" s="28">
        <f t="shared" ca="1" si="0"/>
        <v>-0.11474297436154013</v>
      </c>
      <c r="P16" s="28">
        <f t="shared" ca="1" si="1"/>
        <v>-0.18088787743444795</v>
      </c>
      <c r="Q16" s="206"/>
    </row>
    <row r="17" spans="1:16" ht="18" customHeight="1">
      <c r="A17" s="174"/>
      <c r="B17" s="35" t="s">
        <v>189</v>
      </c>
      <c r="C17" s="30"/>
      <c r="D17" s="30">
        <v>81.283584594726563</v>
      </c>
      <c r="E17" s="30">
        <v>82.5</v>
      </c>
      <c r="F17" s="30">
        <v>83.838027954101563</v>
      </c>
      <c r="G17" s="30">
        <v>72.885902404785156</v>
      </c>
      <c r="H17" s="30">
        <v>76.946311950683594</v>
      </c>
      <c r="I17" s="30">
        <v>82.496353149414063</v>
      </c>
      <c r="J17" s="30">
        <v>71.706588745117188</v>
      </c>
      <c r="K17" s="30">
        <v>59.844825744628906</v>
      </c>
      <c r="L17" s="30">
        <v>58.932693481445313</v>
      </c>
      <c r="M17" s="30">
        <v>61.570705413818359</v>
      </c>
      <c r="N17" s="30">
        <v>51.619998931884766</v>
      </c>
      <c r="O17" s="28">
        <f t="shared" si="0"/>
        <v>-0.36493943778122062</v>
      </c>
      <c r="P17" s="28">
        <f t="shared" si="1"/>
        <v>-0.28012195482664354</v>
      </c>
    </row>
    <row r="18" spans="1:16" ht="18" customHeight="1">
      <c r="A18" s="174"/>
      <c r="B18" s="35" t="s">
        <v>194</v>
      </c>
      <c r="C18" s="30"/>
      <c r="D18" s="30">
        <v>22.164178848266602</v>
      </c>
      <c r="E18" s="30">
        <v>21.441177368164063</v>
      </c>
      <c r="F18" s="30">
        <v>21.654930114746094</v>
      </c>
      <c r="G18" s="30">
        <v>20.859060287475586</v>
      </c>
      <c r="H18" s="30">
        <v>22.770269393920898</v>
      </c>
      <c r="I18" s="30">
        <v>20.411764144897461</v>
      </c>
      <c r="J18" s="30">
        <v>22.825302124023438</v>
      </c>
      <c r="K18" s="30">
        <v>23.538793563842773</v>
      </c>
      <c r="L18" s="30">
        <v>22.25</v>
      </c>
      <c r="M18" s="30">
        <v>24.010101318359375</v>
      </c>
      <c r="N18" s="30">
        <v>23.920000076293945</v>
      </c>
      <c r="O18" s="28">
        <f t="shared" si="0"/>
        <v>7.9218871136507801E-2</v>
      </c>
      <c r="P18" s="28">
        <f t="shared" si="1"/>
        <v>4.7959845014202349E-2</v>
      </c>
    </row>
    <row r="19" spans="1:16" ht="18" customHeight="1">
      <c r="A19" s="174"/>
      <c r="B19" s="35" t="s">
        <v>195</v>
      </c>
      <c r="C19" s="36"/>
      <c r="D19" s="36">
        <v>0.16431200504302979</v>
      </c>
      <c r="E19" s="36">
        <v>0.15739847719669342</v>
      </c>
      <c r="F19" s="36">
        <v>0.16622008383274078</v>
      </c>
      <c r="G19" s="36">
        <v>0.16112135350704193</v>
      </c>
      <c r="H19" s="36">
        <v>0.13013888895511627</v>
      </c>
      <c r="I19" s="36">
        <v>0.15117058157920837</v>
      </c>
      <c r="J19" s="36">
        <v>0.18360531330108643</v>
      </c>
      <c r="K19" s="36">
        <v>0.20237527787685394</v>
      </c>
      <c r="L19" s="36">
        <v>0.18108195066452026</v>
      </c>
      <c r="M19" s="36">
        <v>0.19172897934913635</v>
      </c>
      <c r="N19" s="36">
        <v>0.20220521092414856</v>
      </c>
      <c r="O19" s="28">
        <f t="shared" si="0"/>
        <v>0.23061739080595697</v>
      </c>
      <c r="P19" s="28">
        <f t="shared" si="1"/>
        <v>0.10130370025055302</v>
      </c>
    </row>
    <row r="20" spans="1:16" ht="18" customHeight="1">
      <c r="A20" s="175"/>
      <c r="B20" s="37" t="s">
        <v>196</v>
      </c>
      <c r="C20" s="38"/>
      <c r="D20" s="38">
        <f ca="1">3087*OFFSET(D$112,MATCH($N$1,$C$112:$C$113,0)-1,0)</f>
        <v>3087</v>
      </c>
      <c r="E20" s="38">
        <f ca="1">3112*OFFSET(E$112,MATCH($N$1,$C$112:$C$113,0)-1,0)</f>
        <v>3112</v>
      </c>
      <c r="F20" s="38">
        <f ca="1">3263*OFFSET(F$112,MATCH($N$1,$C$112:$C$113,0)-1,0)</f>
        <v>3263</v>
      </c>
      <c r="G20" s="38">
        <f ca="1">3379*OFFSET(G$112,MATCH($N$1,$C$112:$C$113,0)-1,0)</f>
        <v>3379</v>
      </c>
      <c r="H20" s="38">
        <f ca="1">3577*OFFSET(H$112,MATCH($N$1,$C$112:$C$113,0)-1,0)</f>
        <v>3577</v>
      </c>
      <c r="I20" s="38">
        <f ca="1">3484*OFFSET(I$112,MATCH($N$1,$C$112:$C$113,0)-1,0)</f>
        <v>3484</v>
      </c>
      <c r="J20" s="38">
        <f ca="1">3384*OFFSET(J$112,MATCH($N$1,$C$112:$C$113,0)-1,0)</f>
        <v>3384</v>
      </c>
      <c r="K20" s="38">
        <f ca="1">3512*OFFSET(K$112,MATCH($N$1,$C$112:$C$113,0)-1,0)</f>
        <v>3512</v>
      </c>
      <c r="L20" s="38">
        <f ca="1">4141*OFFSET(L$112,MATCH($N$1,$C$112:$C$113,0)-1,0)</f>
        <v>4141</v>
      </c>
      <c r="M20" s="38">
        <f ca="1">4274*OFFSET(M$112,MATCH($N$1,$C$112:$C$113,0)-1,0)</f>
        <v>4274</v>
      </c>
      <c r="N20" s="38">
        <v>3496</v>
      </c>
      <c r="O20" s="32">
        <f t="shared" ca="1" si="0"/>
        <v>0.13249109167476514</v>
      </c>
      <c r="P20" s="32">
        <f t="shared" ca="1" si="1"/>
        <v>3.309692671394799E-2</v>
      </c>
    </row>
    <row r="21" spans="1:16" ht="18" customHeight="1">
      <c r="A21" s="176" t="s">
        <v>197</v>
      </c>
      <c r="B21" s="33" t="s">
        <v>198</v>
      </c>
      <c r="C21" s="39"/>
      <c r="D21" s="39">
        <v>2.497828059505832</v>
      </c>
      <c r="E21" s="39">
        <v>2.3669165279351998</v>
      </c>
      <c r="F21" s="39">
        <v>2.7087423323182365</v>
      </c>
      <c r="G21" s="39">
        <v>2.5935504710701149</v>
      </c>
      <c r="H21" s="39">
        <v>2.0713362400375117</v>
      </c>
      <c r="I21" s="39">
        <v>2.0257278588801708</v>
      </c>
      <c r="J21" s="39">
        <v>2.6047533309813629</v>
      </c>
      <c r="K21" s="39">
        <v>3.3041095553220368</v>
      </c>
      <c r="L21" s="39">
        <v>2.7706038689166812</v>
      </c>
      <c r="M21" s="39">
        <v>3.0076961558818702</v>
      </c>
      <c r="N21" s="39">
        <v>3.1434047609130613</v>
      </c>
      <c r="O21" s="28">
        <f t="shared" si="0"/>
        <v>0.25845522030645685</v>
      </c>
      <c r="P21" s="28">
        <f t="shared" si="1"/>
        <v>0.20679556237624888</v>
      </c>
    </row>
    <row r="22" spans="1:16" ht="18" customHeight="1">
      <c r="A22" s="176"/>
      <c r="B22" s="35" t="s">
        <v>199</v>
      </c>
      <c r="C22" s="36"/>
      <c r="D22" s="36">
        <f ca="1">7.70962649583709*OFFSET(D$112,MATCH($N$1,$C$112:$C$113,0)-1,0)</f>
        <v>7.7096264958370897</v>
      </c>
      <c r="E22" s="36">
        <f ca="1">7.36666217207864*OFFSET(E$112,MATCH($N$1,$C$112:$C$113,0)-1,0)</f>
        <v>7.36666217207864</v>
      </c>
      <c r="F22" s="36">
        <f ca="1">8.83781392045077*OFFSET(F$112,MATCH($N$1,$C$112:$C$113,0)-1,0)</f>
        <v>8.8378139204507704</v>
      </c>
      <c r="G22" s="36">
        <f ca="1">8.76432939138477*OFFSET(G$112,MATCH($N$1,$C$112:$C$113,0)-1,0)</f>
        <v>8.76432939138477</v>
      </c>
      <c r="H22" s="36">
        <f ca="1">7.4081913848149*OFFSET(H$112,MATCH($N$1,$C$112:$C$113,0)-1,0)</f>
        <v>7.4081913848149004</v>
      </c>
      <c r="I22" s="36">
        <f ca="1">7.05784455370723*OFFSET(I$112,MATCH($N$1,$C$112:$C$113,0)-1,0)</f>
        <v>7.0578445537072296</v>
      </c>
      <c r="J22" s="36">
        <f ca="1">8.81436963778754*OFFSET(J$112,MATCH($N$1,$C$112:$C$113,0)-1,0)</f>
        <v>8.8143696377875393</v>
      </c>
      <c r="K22" s="36">
        <f ca="1">11.6032259465381*OFFSET(K$112,MATCH($N$1,$C$112:$C$113,0)-1,0)</f>
        <v>11.6032259465381</v>
      </c>
      <c r="L22" s="36">
        <f ca="1">11.4731635435964*OFFSET(L$112,MATCH($N$1,$C$112:$C$113,0)-1,0)</f>
        <v>11.473163543596399</v>
      </c>
      <c r="M22" s="36">
        <f ca="1">12.8552156625446*OFFSET(M$112,MATCH($N$1,$C$112:$C$113,0)-1,0)</f>
        <v>12.8552156625446</v>
      </c>
      <c r="N22" s="36">
        <v>10.990116074783767</v>
      </c>
      <c r="O22" s="28">
        <f t="shared" ca="1" si="0"/>
        <v>0.42550564294107107</v>
      </c>
      <c r="P22" s="28">
        <f t="shared" ca="1" si="1"/>
        <v>0.24684084357759625</v>
      </c>
    </row>
    <row r="23" spans="1:16" ht="18" customHeight="1">
      <c r="A23" s="176"/>
      <c r="B23" s="35" t="s">
        <v>154</v>
      </c>
      <c r="C23" s="36"/>
      <c r="D23" s="36">
        <f ca="1">6.28033555295987*OFFSET(D$112,MATCH($N$1,$C$112:$C$113,0)-1,0)</f>
        <v>6.2803355529598699</v>
      </c>
      <c r="E23" s="36">
        <f ca="1">6.97730097318956*OFFSET(E$112,MATCH($N$1,$C$112:$C$113,0)-1,0)</f>
        <v>6.9773009731895597</v>
      </c>
      <c r="F23" s="36">
        <f ca="1">7.39409513881006*OFFSET(F$112,MATCH($N$1,$C$112:$C$113,0)-1,0)</f>
        <v>7.3940951388100604</v>
      </c>
      <c r="G23" s="36">
        <f ca="1">7.1926046839252*OFFSET(G$112,MATCH($N$1,$C$112:$C$113,0)-1,0)</f>
        <v>7.1926046839252002</v>
      </c>
      <c r="H23" s="36">
        <f ca="1">5.48983492898113*OFFSET(H$112,MATCH($N$1,$C$112:$C$113,0)-1,0)</f>
        <v>5.4898349289811303</v>
      </c>
      <c r="I23" s="36">
        <f ca="1">4.79061974347358*OFFSET(I$112,MATCH($N$1,$C$112:$C$113,0)-1,0)</f>
        <v>4.79061974347358</v>
      </c>
      <c r="J23" s="36">
        <f ca="1">5.61484621127315*OFFSET(J$112,MATCH($N$1,$C$112:$C$113,0)-1,0)</f>
        <v>5.6148462112731501</v>
      </c>
      <c r="K23" s="36">
        <f ca="1">8.51469924530584*OFFSET(K$112,MATCH($N$1,$C$112:$C$113,0)-1,0)</f>
        <v>8.5146992453058399</v>
      </c>
      <c r="L23" s="36">
        <f ca="1">8.60467358284471*OFFSET(L$112,MATCH($N$1,$C$112:$C$113,0)-1,0)</f>
        <v>8.6046735828447094</v>
      </c>
      <c r="M23" s="36">
        <f ca="1">9.22163821102356*OFFSET(M$112,MATCH($N$1,$C$112:$C$113,0)-1,0)</f>
        <v>9.22163821102356</v>
      </c>
      <c r="N23" s="36">
        <v>8.4727543389726616</v>
      </c>
      <c r="O23" s="28">
        <f t="shared" ca="1" si="0"/>
        <v>0.3490926189412798</v>
      </c>
      <c r="P23" s="28">
        <f t="shared" ca="1" si="1"/>
        <v>0.50899134547293134</v>
      </c>
    </row>
    <row r="24" spans="1:16" ht="18" customHeight="1">
      <c r="A24" s="176"/>
      <c r="B24" s="35" t="s">
        <v>155</v>
      </c>
      <c r="C24" s="36"/>
      <c r="D24" s="36">
        <f ca="1">1.70760524429574*OFFSET(D$112,MATCH($N$1,$C$112:$C$113,0)-1,0)</f>
        <v>1.7076052442957399</v>
      </c>
      <c r="E24" s="36">
        <f ca="1">0.50679385905773*OFFSET(E$112,MATCH($N$1,$C$112:$C$113,0)-1,0)</f>
        <v>0.50679385905773</v>
      </c>
      <c r="F24" s="36">
        <f ca="1">1.63958206074485*OFFSET(F$112,MATCH($N$1,$C$112:$C$113,0)-1,0)</f>
        <v>1.6395820607448499</v>
      </c>
      <c r="G24" s="36">
        <f ca="1">2.87633804250679*OFFSET(G$112,MATCH($N$1,$C$112:$C$113,0)-1,0)</f>
        <v>2.8763380425067901</v>
      </c>
      <c r="H24" s="36">
        <f ca="1">2.17377811489674*OFFSET(H$112,MATCH($N$1,$C$112:$C$113,0)-1,0)</f>
        <v>2.1737781148967401</v>
      </c>
      <c r="I24" s="36">
        <f ca="1">2.34144492096215*OFFSET(I$112,MATCH($N$1,$C$112:$C$113,0)-1,0)</f>
        <v>2.3414449209621502</v>
      </c>
      <c r="J24" s="36">
        <f ca="1">3.26061545630996*OFFSET(J$112,MATCH($N$1,$C$112:$C$113,0)-1,0)</f>
        <v>3.2606154563099601</v>
      </c>
      <c r="K24" s="36">
        <f ca="1">3.77908111516872*OFFSET(K$112,MATCH($N$1,$C$112:$C$113,0)-1,0)</f>
        <v>3.77908111516872</v>
      </c>
      <c r="L24" s="36">
        <f ca="1">3.02107819688099*OFFSET(L$112,MATCH($N$1,$C$112:$C$113,0)-1,0)</f>
        <v>3.0210781968809899</v>
      </c>
      <c r="M24" s="36">
        <f ca="1">3.86619339221314*OFFSET(M$112,MATCH($N$1,$C$112:$C$113,0)-1,0)</f>
        <v>3.8661933922131402</v>
      </c>
      <c r="N24" s="36">
        <v>3.628655685148408</v>
      </c>
      <c r="O24" s="28">
        <f t="shared" ca="1" si="0"/>
        <v>1.124996803136991</v>
      </c>
      <c r="P24" s="28">
        <f t="shared" ca="1" si="1"/>
        <v>0.11287446611535086</v>
      </c>
    </row>
    <row r="25" spans="1:16" ht="18" customHeight="1">
      <c r="A25" s="176"/>
      <c r="B25" s="35" t="s">
        <v>200</v>
      </c>
      <c r="C25" s="31"/>
      <c r="D25" s="31">
        <f ca="1">46.15*OFFSET(D$112,MATCH($N$1,$C$112:$C$113,0)-1,0)</f>
        <v>46.15</v>
      </c>
      <c r="E25" s="31">
        <f ca="1">42.8*OFFSET(E$112,MATCH($N$1,$C$112:$C$113,0)-1,0)</f>
        <v>42.8</v>
      </c>
      <c r="F25" s="31">
        <f ca="1">54.89*OFFSET(F$112,MATCH($N$1,$C$112:$C$113,0)-1,0)</f>
        <v>54.89</v>
      </c>
      <c r="G25" s="31">
        <f ca="1">61.92*OFFSET(G$112,MATCH($N$1,$C$112:$C$113,0)-1,0)</f>
        <v>61.92</v>
      </c>
      <c r="H25" s="31">
        <f ca="1">39.98*OFFSET(H$112,MATCH($N$1,$C$112:$C$113,0)-1,0)</f>
        <v>39.979999999999997</v>
      </c>
      <c r="I25" s="31">
        <f ca="1">32.53*OFFSET(I$112,MATCH($N$1,$C$112:$C$113,0)-1,0)</f>
        <v>32.53</v>
      </c>
      <c r="J25" s="31">
        <f ca="1">87.64*OFFSET(J$112,MATCH($N$1,$C$112:$C$113,0)-1,0)</f>
        <v>87.64</v>
      </c>
      <c r="K25" s="31">
        <f ca="1">74.9*OFFSET(K$112,MATCH($N$1,$C$112:$C$113,0)-1,0)</f>
        <v>74.900000000000006</v>
      </c>
      <c r="L25" s="31">
        <f ca="1">84.65*OFFSET(L$112,MATCH($N$1,$C$112:$C$113,0)-1,0)</f>
        <v>84.65</v>
      </c>
      <c r="M25" s="31">
        <f ca="1">102.65*OFFSET(M$112,MATCH($N$1,$C$112:$C$113,0)-1,0)</f>
        <v>102.65</v>
      </c>
      <c r="N25" s="31">
        <v>94.41</v>
      </c>
      <c r="O25" s="28">
        <f t="shared" ca="1" si="0"/>
        <v>1.0457204767063921</v>
      </c>
      <c r="P25" s="28">
        <f t="shared" ca="1" si="1"/>
        <v>7.7247832040164263E-2</v>
      </c>
    </row>
    <row r="26" spans="1:16" ht="18" customHeight="1">
      <c r="A26" s="177"/>
      <c r="B26" s="35" t="s">
        <v>201</v>
      </c>
      <c r="C26" s="31"/>
      <c r="D26" s="31">
        <f ca="1">10.19*OFFSET(D$112,MATCH($N$1,$C$112:$C$113,0)-1,0)</f>
        <v>10.19</v>
      </c>
      <c r="E26" s="31">
        <f ca="1">2.97*OFFSET(E$112,MATCH($N$1,$C$112:$C$113,0)-1,0)</f>
        <v>2.97</v>
      </c>
      <c r="F26" s="31">
        <f ca="1">10.13*OFFSET(F$112,MATCH($N$1,$C$112:$C$113,0)-1,0)</f>
        <v>10.130000000000001</v>
      </c>
      <c r="G26" s="31">
        <f ca="1">20.28*OFFSET(G$112,MATCH($N$1,$C$112:$C$113,0)-1,0)</f>
        <v>20.28</v>
      </c>
      <c r="H26" s="31">
        <f ca="1">11.72*OFFSET(H$112,MATCH($N$1,$C$112:$C$113,0)-1,0)</f>
        <v>11.72</v>
      </c>
      <c r="I26" s="31">
        <f ca="1">10.77*OFFSET(I$112,MATCH($N$1,$C$112:$C$113,0)-1,0)</f>
        <v>10.77</v>
      </c>
      <c r="J26" s="31">
        <f ca="1">32.42*OFFSET(J$112,MATCH($N$1,$C$112:$C$113,0)-1,0)</f>
        <v>32.42</v>
      </c>
      <c r="K26" s="31">
        <f ca="1">24.5*OFFSET(K$112,MATCH($N$1,$C$112:$C$113,0)-1,0)</f>
        <v>24.5</v>
      </c>
      <c r="L26" s="31">
        <f ca="1">22.22*OFFSET(L$112,MATCH($N$1,$C$112:$C$113,0)-1,0)</f>
        <v>22.22</v>
      </c>
      <c r="M26" s="31">
        <f ca="1">30.9*OFFSET(M$112,MATCH($N$1,$C$112:$C$113,0)-1,0)</f>
        <v>30.9</v>
      </c>
      <c r="N26" s="31">
        <v>31.04</v>
      </c>
      <c r="O26" s="32">
        <f t="shared" ca="1" si="0"/>
        <v>2.0461236506378806</v>
      </c>
      <c r="P26" s="32">
        <f t="shared" ca="1" si="1"/>
        <v>-4.2566317088217225E-2</v>
      </c>
    </row>
    <row r="27" spans="1:16" ht="18" customHeight="1">
      <c r="A27" s="166" t="s">
        <v>202</v>
      </c>
      <c r="B27" s="33" t="s">
        <v>193</v>
      </c>
      <c r="C27" s="34"/>
      <c r="D27" s="34">
        <f ca="1">41.2*OFFSET(D$112,MATCH($N$1,$C$112:$C$113,0)-1,0)</f>
        <v>41.2</v>
      </c>
      <c r="E27" s="34">
        <f ca="1">40.4*OFFSET(E$112,MATCH($N$1,$C$112:$C$113,0)-1,0)</f>
        <v>40.4</v>
      </c>
      <c r="F27" s="34">
        <f ca="1">45.5*OFFSET(F$112,MATCH($N$1,$C$112:$C$113,0)-1,0)</f>
        <v>45.5</v>
      </c>
      <c r="G27" s="34">
        <f ca="1">39.7*OFFSET(G$112,MATCH($N$1,$C$112:$C$113,0)-1,0)</f>
        <v>39.700000000000003</v>
      </c>
      <c r="H27" s="34">
        <f ca="1">35.8*OFFSET(H$112,MATCH($N$1,$C$112:$C$113,0)-1,0)</f>
        <v>35.799999999999997</v>
      </c>
      <c r="I27" s="34">
        <f ca="1">43.5*OFFSET(I$112,MATCH($N$1,$C$112:$C$113,0)-1,0)</f>
        <v>43.5</v>
      </c>
      <c r="J27" s="34">
        <f ca="1">44.6*OFFSET(J$112,MATCH($N$1,$C$112:$C$113,0)-1,0)</f>
        <v>44.6</v>
      </c>
      <c r="K27" s="34">
        <f ca="1">42.5*OFFSET(K$112,MATCH($N$1,$C$112:$C$113,0)-1,0)</f>
        <v>42.5</v>
      </c>
      <c r="L27" s="34">
        <f ca="1">44.2*OFFSET(L$112,MATCH($N$1,$C$112:$C$113,0)-1,0)</f>
        <v>44.2</v>
      </c>
      <c r="M27" s="34">
        <f ca="1">50.5*OFFSET(M$112,MATCH($N$1,$C$112:$C$113,0)-1,0)</f>
        <v>50.5</v>
      </c>
      <c r="N27" s="34">
        <v>36.5</v>
      </c>
      <c r="O27" s="28">
        <f t="shared" ca="1" si="0"/>
        <v>-0.11407766990291268</v>
      </c>
      <c r="P27" s="28">
        <f t="shared" ca="1" si="1"/>
        <v>-0.18161434977578478</v>
      </c>
    </row>
    <row r="28" spans="1:16" ht="18" customHeight="1">
      <c r="A28" s="178"/>
      <c r="B28" s="35" t="s">
        <v>203</v>
      </c>
      <c r="C28" s="31"/>
      <c r="D28" s="31">
        <f ca="1">1.5*OFFSET(D$112,MATCH($N$1,$C$112:$C$113,0)-1,0)</f>
        <v>1.5</v>
      </c>
      <c r="E28" s="31">
        <f ca="1">0.6*OFFSET(E$112,MATCH($N$1,$C$112:$C$113,0)-1,0)</f>
        <v>0.6</v>
      </c>
      <c r="F28" s="31">
        <f ca="1">1*OFFSET(F$112,MATCH($N$1,$C$112:$C$113,0)-1,0)</f>
        <v>1</v>
      </c>
      <c r="G28" s="31">
        <f ca="1">5.9*OFFSET(G$112,MATCH($N$1,$C$112:$C$113,0)-1,0)</f>
        <v>5.9</v>
      </c>
      <c r="H28" s="31">
        <f ca="1">1.2*OFFSET(H$112,MATCH($N$1,$C$112:$C$113,0)-1,0)</f>
        <v>1.2</v>
      </c>
      <c r="I28" s="31">
        <f ca="1">0.5*OFFSET(I$112,MATCH($N$1,$C$112:$C$113,0)-1,0)</f>
        <v>0.5</v>
      </c>
      <c r="J28" s="31">
        <f ca="1">0.3*OFFSET(J$112,MATCH($N$1,$C$112:$C$113,0)-1,0)</f>
        <v>0.3</v>
      </c>
      <c r="K28" s="31">
        <f ca="1">2.5*OFFSET(K$112,MATCH($N$1,$C$112:$C$113,0)-1,0)</f>
        <v>2.5</v>
      </c>
      <c r="L28" s="31">
        <f ca="1">0.6*OFFSET(L$112,MATCH($N$1,$C$112:$C$113,0)-1,0)</f>
        <v>0.6</v>
      </c>
      <c r="M28" s="31">
        <f ca="1">0.9*OFFSET(M$112,MATCH($N$1,$C$112:$C$113,0)-1,0)</f>
        <v>0.9</v>
      </c>
      <c r="N28" s="31">
        <v>3.7</v>
      </c>
      <c r="O28" s="28">
        <f t="shared" ca="1" si="0"/>
        <v>1.4666666666666668</v>
      </c>
      <c r="P28" s="28">
        <f t="shared" ca="1" si="1"/>
        <v>11.333333333333336</v>
      </c>
    </row>
    <row r="29" spans="1:16" ht="18" customHeight="1">
      <c r="A29" s="178"/>
      <c r="B29" s="40" t="s">
        <v>204</v>
      </c>
      <c r="C29" s="41"/>
      <c r="D29" s="41">
        <f ca="1">42.7*OFFSET(D$112,MATCH($N$1,$C$112:$C$113,0)-1,0)</f>
        <v>42.7</v>
      </c>
      <c r="E29" s="41">
        <f ca="1">41.1*OFFSET(E$112,MATCH($N$1,$C$112:$C$113,0)-1,0)</f>
        <v>41.1</v>
      </c>
      <c r="F29" s="41">
        <f ca="1">46.5*OFFSET(F$112,MATCH($N$1,$C$112:$C$113,0)-1,0)</f>
        <v>46.5</v>
      </c>
      <c r="G29" s="41">
        <f ca="1">45.6*OFFSET(G$112,MATCH($N$1,$C$112:$C$113,0)-1,0)</f>
        <v>45.6</v>
      </c>
      <c r="H29" s="41">
        <f ca="1">37*OFFSET(H$112,MATCH($N$1,$C$112:$C$113,0)-1,0)</f>
        <v>37</v>
      </c>
      <c r="I29" s="41">
        <f ca="1">43.9*OFFSET(I$112,MATCH($N$1,$C$112:$C$113,0)-1,0)</f>
        <v>43.9</v>
      </c>
      <c r="J29" s="41">
        <f ca="1">44.9*OFFSET(J$112,MATCH($N$1,$C$112:$C$113,0)-1,0)</f>
        <v>44.9</v>
      </c>
      <c r="K29" s="41">
        <f ca="1">45.1*OFFSET(K$112,MATCH($N$1,$C$112:$C$113,0)-1,0)</f>
        <v>45.1</v>
      </c>
      <c r="L29" s="41">
        <f ca="1">44.8*OFFSET(L$112,MATCH($N$1,$C$112:$C$113,0)-1,0)</f>
        <v>44.8</v>
      </c>
      <c r="M29" s="41">
        <f ca="1">51.4*OFFSET(M$112,MATCH($N$1,$C$112:$C$113,0)-1,0)</f>
        <v>51.4</v>
      </c>
      <c r="N29" s="41">
        <v>40.200000000000003</v>
      </c>
      <c r="O29" s="28">
        <f t="shared" ca="1" si="0"/>
        <v>-5.8548009367681494E-2</v>
      </c>
      <c r="P29" s="28">
        <f t="shared" ca="1" si="1"/>
        <v>-0.10467706013363019</v>
      </c>
    </row>
    <row r="30" spans="1:16" ht="18" customHeight="1">
      <c r="A30" s="178"/>
      <c r="B30" s="35" t="s">
        <v>205</v>
      </c>
      <c r="C30" s="31"/>
      <c r="D30" s="31">
        <f ca="1">3.4*OFFSET(D$112,MATCH($N$1,$C$112:$C$113,0)-1,0)</f>
        <v>3.4</v>
      </c>
      <c r="E30" s="31">
        <f ca="1">4.6*OFFSET(E$112,MATCH($N$1,$C$112:$C$113,0)-1,0)</f>
        <v>4.5999999999999996</v>
      </c>
      <c r="F30" s="31">
        <f ca="1">4.2*OFFSET(F$112,MATCH($N$1,$C$112:$C$113,0)-1,0)</f>
        <v>4.2</v>
      </c>
      <c r="G30" s="31">
        <f ca="1">3.5*OFFSET(G$112,MATCH($N$1,$C$112:$C$113,0)-1,0)</f>
        <v>3.5</v>
      </c>
      <c r="H30" s="31">
        <f ca="1">3.6*OFFSET(H$112,MATCH($N$1,$C$112:$C$113,0)-1,0)</f>
        <v>3.6</v>
      </c>
      <c r="I30" s="31">
        <f ca="1">3.1*OFFSET(I$112,MATCH($N$1,$C$112:$C$113,0)-1,0)</f>
        <v>3.1</v>
      </c>
      <c r="J30" s="31">
        <f ca="1">2.4*OFFSET(J$112,MATCH($N$1,$C$112:$C$113,0)-1,0)</f>
        <v>2.4</v>
      </c>
      <c r="K30" s="31">
        <f ca="1">2*OFFSET(K$112,MATCH($N$1,$C$112:$C$113,0)-1,0)</f>
        <v>2</v>
      </c>
      <c r="L30" s="31">
        <f ca="1">2.6*OFFSET(L$112,MATCH($N$1,$C$112:$C$113,0)-1,0)</f>
        <v>2.6</v>
      </c>
      <c r="M30" s="31">
        <f ca="1">2.5*OFFSET(M$112,MATCH($N$1,$C$112:$C$113,0)-1,0)</f>
        <v>2.5</v>
      </c>
      <c r="N30" s="31">
        <v>1.5</v>
      </c>
      <c r="O30" s="28">
        <f t="shared" ca="1" si="0"/>
        <v>-0.55882352941176472</v>
      </c>
      <c r="P30" s="28">
        <f t="shared" ca="1" si="1"/>
        <v>-0.375</v>
      </c>
    </row>
    <row r="31" spans="1:16" ht="18" customHeight="1">
      <c r="A31" s="178"/>
      <c r="B31" s="35" t="s">
        <v>206</v>
      </c>
      <c r="C31" s="31"/>
      <c r="D31" s="31">
        <f ca="1">15*OFFSET(D$112,MATCH($N$1,$C$112:$C$113,0)-1,0)</f>
        <v>15</v>
      </c>
      <c r="E31" s="31">
        <f ca="1">11.2*OFFSET(E$112,MATCH($N$1,$C$112:$C$113,0)-1,0)</f>
        <v>11.2</v>
      </c>
      <c r="F31" s="31">
        <f ca="1">14*OFFSET(F$112,MATCH($N$1,$C$112:$C$113,0)-1,0)</f>
        <v>14</v>
      </c>
      <c r="G31" s="31">
        <f ca="1">10.4*OFFSET(G$112,MATCH($N$1,$C$112:$C$113,0)-1,0)</f>
        <v>10.4</v>
      </c>
      <c r="H31" s="31">
        <f ca="1">10.4*OFFSET(H$112,MATCH($N$1,$C$112:$C$113,0)-1,0)</f>
        <v>10.4</v>
      </c>
      <c r="I31" s="31">
        <f ca="1">8.4*OFFSET(I$112,MATCH($N$1,$C$112:$C$113,0)-1,0)</f>
        <v>8.4</v>
      </c>
      <c r="J31" s="31">
        <f ca="1">8.8*OFFSET(J$112,MATCH($N$1,$C$112:$C$113,0)-1,0)</f>
        <v>8.8000000000000007</v>
      </c>
      <c r="K31" s="31">
        <f ca="1">8.3*OFFSET(K$112,MATCH($N$1,$C$112:$C$113,0)-1,0)</f>
        <v>8.3000000000000007</v>
      </c>
      <c r="L31" s="31">
        <f ca="1">14.6*OFFSET(L$112,MATCH($N$1,$C$112:$C$113,0)-1,0)</f>
        <v>14.6</v>
      </c>
      <c r="M31" s="31">
        <f ca="1">17.2*OFFSET(M$112,MATCH($N$1,$C$112:$C$113,0)-1,0)</f>
        <v>17.2</v>
      </c>
      <c r="N31" s="31">
        <v>12.5</v>
      </c>
      <c r="O31" s="28">
        <f t="shared" ca="1" si="0"/>
        <v>-0.16666666666666666</v>
      </c>
      <c r="P31" s="28">
        <f t="shared" ca="1" si="1"/>
        <v>0.42045454545454536</v>
      </c>
    </row>
    <row r="32" spans="1:16" ht="18" customHeight="1">
      <c r="A32" s="178"/>
      <c r="B32" s="35" t="s">
        <v>207</v>
      </c>
      <c r="C32" s="31"/>
      <c r="D32" s="31">
        <f ca="1">4.8*OFFSET(D$112,MATCH($N$1,$C$112:$C$113,0)-1,0)</f>
        <v>4.8</v>
      </c>
      <c r="E32" s="31">
        <f ca="1">11.8*OFFSET(E$112,MATCH($N$1,$C$112:$C$113,0)-1,0)</f>
        <v>11.8</v>
      </c>
      <c r="F32" s="31">
        <f ca="1">11.8*OFFSET(F$112,MATCH($N$1,$C$112:$C$113,0)-1,0)</f>
        <v>11.8</v>
      </c>
      <c r="G32" s="31">
        <f ca="1">8.2*OFFSET(G$112,MATCH($N$1,$C$112:$C$113,0)-1,0)</f>
        <v>8.1999999999999993</v>
      </c>
      <c r="H32" s="31">
        <f ca="1">4.9*OFFSET(H$112,MATCH($N$1,$C$112:$C$113,0)-1,0)</f>
        <v>4.9000000000000004</v>
      </c>
      <c r="I32" s="31">
        <f ca="1">11.9*OFFSET(I$112,MATCH($N$1,$C$112:$C$113,0)-1,0)</f>
        <v>11.9</v>
      </c>
      <c r="J32" s="31">
        <f ca="1">10.8*OFFSET(J$112,MATCH($N$1,$C$112:$C$113,0)-1,0)</f>
        <v>10.8</v>
      </c>
      <c r="K32" s="31">
        <f ca="1">13.5*OFFSET(K$112,MATCH($N$1,$C$112:$C$113,0)-1,0)</f>
        <v>13.5</v>
      </c>
      <c r="L32" s="31">
        <f ca="1">6.3*OFFSET(L$112,MATCH($N$1,$C$112:$C$113,0)-1,0)</f>
        <v>6.3</v>
      </c>
      <c r="M32" s="31">
        <f ca="1">6.5*OFFSET(M$112,MATCH($N$1,$C$112:$C$113,0)-1,0)</f>
        <v>6.5</v>
      </c>
      <c r="N32" s="31">
        <v>4.7</v>
      </c>
      <c r="O32" s="28">
        <f t="shared" ca="1" si="0"/>
        <v>-2.0833333333333259E-2</v>
      </c>
      <c r="P32" s="28">
        <f t="shared" ca="1" si="1"/>
        <v>-0.56481481481481488</v>
      </c>
    </row>
    <row r="33" spans="1:16" ht="18" customHeight="1">
      <c r="A33" s="178"/>
      <c r="B33" s="35" t="s">
        <v>208</v>
      </c>
      <c r="C33" s="31"/>
      <c r="D33" s="31">
        <f ca="1">23.2*OFFSET(D$112,MATCH($N$1,$C$112:$C$113,0)-1,0)</f>
        <v>23.2</v>
      </c>
      <c r="E33" s="31">
        <f ca="1">27.6*OFFSET(E$112,MATCH($N$1,$C$112:$C$113,0)-1,0)</f>
        <v>27.6</v>
      </c>
      <c r="F33" s="31">
        <f ca="1">30*OFFSET(F$112,MATCH($N$1,$C$112:$C$113,0)-1,0)</f>
        <v>30</v>
      </c>
      <c r="G33" s="31">
        <f ca="1">22.1*OFFSET(G$112,MATCH($N$1,$C$112:$C$113,0)-1,0)</f>
        <v>22.1</v>
      </c>
      <c r="H33" s="31">
        <f ca="1">18.9*OFFSET(H$112,MATCH($N$1,$C$112:$C$113,0)-1,0)</f>
        <v>18.899999999999999</v>
      </c>
      <c r="I33" s="31">
        <f ca="1">23.5*OFFSET(I$112,MATCH($N$1,$C$112:$C$113,0)-1,0)</f>
        <v>23.5</v>
      </c>
      <c r="J33" s="31">
        <f ca="1">22*OFFSET(J$112,MATCH($N$1,$C$112:$C$113,0)-1,0)</f>
        <v>22</v>
      </c>
      <c r="K33" s="31">
        <f ca="1">23.8*OFFSET(K$112,MATCH($N$1,$C$112:$C$113,0)-1,0)</f>
        <v>23.8</v>
      </c>
      <c r="L33" s="31">
        <f ca="1">23.5*OFFSET(L$112,MATCH($N$1,$C$112:$C$113,0)-1,0)</f>
        <v>23.5</v>
      </c>
      <c r="M33" s="31">
        <f ca="1">26.3*OFFSET(M$112,MATCH($N$1,$C$112:$C$113,0)-1,0)</f>
        <v>26.3</v>
      </c>
      <c r="N33" s="31">
        <v>18.8</v>
      </c>
      <c r="O33" s="28">
        <f t="shared" ca="1" si="0"/>
        <v>-0.18965517241379304</v>
      </c>
      <c r="P33" s="28">
        <f t="shared" ca="1" si="1"/>
        <v>-0.14545454545454542</v>
      </c>
    </row>
    <row r="34" spans="1:16" ht="18" customHeight="1">
      <c r="A34" s="178"/>
      <c r="B34" s="35" t="s">
        <v>209</v>
      </c>
      <c r="C34" s="31"/>
      <c r="D34" s="31">
        <f ca="1">10.4*OFFSET(D$112,MATCH($N$1,$C$112:$C$113,0)-1,0)</f>
        <v>10.4</v>
      </c>
      <c r="E34" s="31">
        <f ca="1">10.7*OFFSET(E$112,MATCH($N$1,$C$112:$C$113,0)-1,0)</f>
        <v>10.7</v>
      </c>
      <c r="F34" s="31">
        <f ca="1">8*OFFSET(F$112,MATCH($N$1,$C$112:$C$113,0)-1,0)</f>
        <v>8</v>
      </c>
      <c r="G34" s="31">
        <f ca="1">10.5*OFFSET(G$112,MATCH($N$1,$C$112:$C$113,0)-1,0)</f>
        <v>10.5</v>
      </c>
      <c r="H34" s="31">
        <f ca="1">7.7*OFFSET(H$112,MATCH($N$1,$C$112:$C$113,0)-1,0)</f>
        <v>7.7</v>
      </c>
      <c r="I34" s="31">
        <f ca="1">6*OFFSET(I$112,MATCH($N$1,$C$112:$C$113,0)-1,0)</f>
        <v>6</v>
      </c>
      <c r="J34" s="31">
        <f ca="1">6.4*OFFSET(J$112,MATCH($N$1,$C$112:$C$113,0)-1,0)</f>
        <v>6.4</v>
      </c>
      <c r="K34" s="31">
        <f ca="1">7.4*OFFSET(K$112,MATCH($N$1,$C$112:$C$113,0)-1,0)</f>
        <v>7.4</v>
      </c>
      <c r="L34" s="31">
        <f ca="1">9.7*OFFSET(L$112,MATCH($N$1,$C$112:$C$113,0)-1,0)</f>
        <v>9.6999999999999993</v>
      </c>
      <c r="M34" s="31">
        <f ca="1">9.9*OFFSET(M$112,MATCH($N$1,$C$112:$C$113,0)-1,0)</f>
        <v>9.9</v>
      </c>
      <c r="N34" s="31">
        <v>9.3000000000000007</v>
      </c>
      <c r="O34" s="28">
        <f t="shared" ca="1" si="0"/>
        <v>-0.10576923076923073</v>
      </c>
      <c r="P34" s="28">
        <f t="shared" ca="1" si="1"/>
        <v>0.45312500000000006</v>
      </c>
    </row>
    <row r="35" spans="1:16" ht="18" customHeight="1">
      <c r="A35" s="178"/>
      <c r="B35" s="35" t="s">
        <v>210</v>
      </c>
      <c r="C35" s="31"/>
      <c r="D35" s="31">
        <f ca="1">33.6*OFFSET(D$112,MATCH($N$1,$C$112:$C$113,0)-1,0)</f>
        <v>33.6</v>
      </c>
      <c r="E35" s="31">
        <f ca="1">38.3*OFFSET(E$112,MATCH($N$1,$C$112:$C$113,0)-1,0)</f>
        <v>38.299999999999997</v>
      </c>
      <c r="F35" s="31">
        <f ca="1">38*OFFSET(F$112,MATCH($N$1,$C$112:$C$113,0)-1,0)</f>
        <v>38</v>
      </c>
      <c r="G35" s="31">
        <f ca="1">32.6*OFFSET(G$112,MATCH($N$1,$C$112:$C$113,0)-1,0)</f>
        <v>32.6</v>
      </c>
      <c r="H35" s="31">
        <f ca="1">26.5*OFFSET(H$112,MATCH($N$1,$C$112:$C$113,0)-1,0)</f>
        <v>26.5</v>
      </c>
      <c r="I35" s="31">
        <f ca="1">29.5*OFFSET(I$112,MATCH($N$1,$C$112:$C$113,0)-1,0)</f>
        <v>29.5</v>
      </c>
      <c r="J35" s="31">
        <f ca="1">28.4*OFFSET(J$112,MATCH($N$1,$C$112:$C$113,0)-1,0)</f>
        <v>28.4</v>
      </c>
      <c r="K35" s="31">
        <f ca="1">31.2*OFFSET(K$112,MATCH($N$1,$C$112:$C$113,0)-1,0)</f>
        <v>31.2</v>
      </c>
      <c r="L35" s="31">
        <f ca="1">33.1*OFFSET(L$112,MATCH($N$1,$C$112:$C$113,0)-1,0)</f>
        <v>33.1</v>
      </c>
      <c r="M35" s="31">
        <f ca="1">36.2*OFFSET(M$112,MATCH($N$1,$C$112:$C$113,0)-1,0)</f>
        <v>36.200000000000003</v>
      </c>
      <c r="N35" s="31">
        <v>28.1</v>
      </c>
      <c r="O35" s="28">
        <f t="shared" ca="1" si="0"/>
        <v>-0.16369047619047619</v>
      </c>
      <c r="P35" s="28">
        <f t="shared" ca="1" si="1"/>
        <v>-1.0563380281690042E-2</v>
      </c>
    </row>
    <row r="36" spans="1:16" ht="18" customHeight="1">
      <c r="A36" s="178"/>
      <c r="B36" s="40" t="s">
        <v>211</v>
      </c>
      <c r="C36" s="41"/>
      <c r="D36" s="41">
        <f ca="1">24.1*OFFSET(D$112,MATCH($N$1,$C$112:$C$113,0)-1,0)</f>
        <v>24.1</v>
      </c>
      <c r="E36" s="41">
        <f ca="1">14*OFFSET(E$112,MATCH($N$1,$C$112:$C$113,0)-1,0)</f>
        <v>14</v>
      </c>
      <c r="F36" s="41">
        <f ca="1">22.4*OFFSET(F$112,MATCH($N$1,$C$112:$C$113,0)-1,0)</f>
        <v>22.4</v>
      </c>
      <c r="G36" s="41">
        <f ca="1">23.4*OFFSET(G$112,MATCH($N$1,$C$112:$C$113,0)-1,0)</f>
        <v>23.4</v>
      </c>
      <c r="H36" s="41">
        <f ca="1">20.9*OFFSET(H$112,MATCH($N$1,$C$112:$C$113,0)-1,0)</f>
        <v>20.9</v>
      </c>
      <c r="I36" s="41">
        <f ca="1">22.8*OFFSET(I$112,MATCH($N$1,$C$112:$C$113,0)-1,0)</f>
        <v>22.8</v>
      </c>
      <c r="J36" s="41">
        <f ca="1">25.3*OFFSET(J$112,MATCH($N$1,$C$112:$C$113,0)-1,0)</f>
        <v>25.3</v>
      </c>
      <c r="K36" s="41">
        <f ca="1">22.2*OFFSET(K$112,MATCH($N$1,$C$112:$C$113,0)-1,0)</f>
        <v>22.2</v>
      </c>
      <c r="L36" s="41">
        <f ca="1">26.2*OFFSET(L$112,MATCH($N$1,$C$112:$C$113,0)-1,0)</f>
        <v>26.2</v>
      </c>
      <c r="M36" s="41">
        <f ca="1">32.4*OFFSET(M$112,MATCH($N$1,$C$112:$C$113,0)-1,0)</f>
        <v>32.4</v>
      </c>
      <c r="N36" s="41">
        <v>24.5</v>
      </c>
      <c r="O36" s="28">
        <f t="shared" ca="1" si="0"/>
        <v>1.6597510373443924E-2</v>
      </c>
      <c r="P36" s="28">
        <f t="shared" ca="1" si="1"/>
        <v>-3.162055335968382E-2</v>
      </c>
    </row>
    <row r="37" spans="1:16" ht="18" customHeight="1">
      <c r="A37" s="178"/>
      <c r="B37" s="40" t="s">
        <v>212</v>
      </c>
      <c r="C37" s="41"/>
      <c r="D37" s="41">
        <f ca="1">9.1*OFFSET(D$112,MATCH($N$1,$C$112:$C$113,0)-1,0)</f>
        <v>9.1</v>
      </c>
      <c r="E37" s="41">
        <f ca="1">2.8*OFFSET(E$112,MATCH($N$1,$C$112:$C$113,0)-1,0)</f>
        <v>2.8</v>
      </c>
      <c r="F37" s="41">
        <f ca="1">8.4*OFFSET(F$112,MATCH($N$1,$C$112:$C$113,0)-1,0)</f>
        <v>8.4</v>
      </c>
      <c r="G37" s="41">
        <f ca="1">13*OFFSET(G$112,MATCH($N$1,$C$112:$C$113,0)-1,0)</f>
        <v>13</v>
      </c>
      <c r="H37" s="41">
        <f ca="1">10.5*OFFSET(H$112,MATCH($N$1,$C$112:$C$113,0)-1,0)</f>
        <v>10.5</v>
      </c>
      <c r="I37" s="41">
        <f ca="1">14.4*OFFSET(I$112,MATCH($N$1,$C$112:$C$113,0)-1,0)</f>
        <v>14.4</v>
      </c>
      <c r="J37" s="41">
        <f ca="1">16.5*OFFSET(J$112,MATCH($N$1,$C$112:$C$113,0)-1,0)</f>
        <v>16.5</v>
      </c>
      <c r="K37" s="41">
        <f ca="1">13.9*OFFSET(K$112,MATCH($N$1,$C$112:$C$113,0)-1,0)</f>
        <v>13.9</v>
      </c>
      <c r="L37" s="41">
        <f ca="1">11.6*OFFSET(L$112,MATCH($N$1,$C$112:$C$113,0)-1,0)</f>
        <v>11.6</v>
      </c>
      <c r="M37" s="41">
        <f ca="1">15.2*OFFSET(M$112,MATCH($N$1,$C$112:$C$113,0)-1,0)</f>
        <v>15.2</v>
      </c>
      <c r="N37" s="41">
        <v>12</v>
      </c>
      <c r="O37" s="28">
        <f t="shared" ca="1" si="0"/>
        <v>0.31868131868131871</v>
      </c>
      <c r="P37" s="28">
        <f t="shared" ca="1" si="1"/>
        <v>-0.27272727272727271</v>
      </c>
    </row>
    <row r="38" spans="1:16" ht="18" customHeight="1">
      <c r="A38" s="178"/>
      <c r="B38" s="35" t="s">
        <v>213</v>
      </c>
      <c r="C38" s="31"/>
      <c r="D38" s="31">
        <f ca="1">1.7*OFFSET(D$112,MATCH($N$1,$C$112:$C$113,0)-1,0)</f>
        <v>1.7</v>
      </c>
      <c r="E38" s="31">
        <f ca="1">3*OFFSET(E$112,MATCH($N$1,$C$112:$C$113,0)-1,0)</f>
        <v>3</v>
      </c>
      <c r="F38" s="31">
        <f ca="1">2.9*OFFSET(F$112,MATCH($N$1,$C$112:$C$113,0)-1,0)</f>
        <v>2.9</v>
      </c>
      <c r="G38" s="31">
        <f ca="1">4.2*OFFSET(G$112,MATCH($N$1,$C$112:$C$113,0)-1,0)</f>
        <v>4.2</v>
      </c>
      <c r="H38" s="31">
        <f ca="1">2.7*OFFSET(H$112,MATCH($N$1,$C$112:$C$113,0)-1,0)</f>
        <v>2.7</v>
      </c>
      <c r="I38" s="31">
        <f ca="1">1.9*OFFSET(I$112,MATCH($N$1,$C$112:$C$113,0)-1,0)</f>
        <v>1.9</v>
      </c>
      <c r="J38" s="31">
        <f ca="1">2.9*OFFSET(J$112,MATCH($N$1,$C$112:$C$113,0)-1,0)</f>
        <v>2.9</v>
      </c>
      <c r="K38" s="31">
        <f ca="1">2.3*OFFSET(K$112,MATCH($N$1,$C$112:$C$113,0)-1,0)</f>
        <v>2.2999999999999998</v>
      </c>
      <c r="L38" s="31">
        <f ca="1">2.2*OFFSET(L$112,MATCH($N$1,$C$112:$C$113,0)-1,0)</f>
        <v>2.2000000000000002</v>
      </c>
      <c r="M38" s="31">
        <f ca="1">4.4*OFFSET(M$112,MATCH($N$1,$C$112:$C$113,0)-1,0)</f>
        <v>4.4000000000000004</v>
      </c>
      <c r="N38" s="31"/>
      <c r="O38" s="28" t="str">
        <f t="shared" si="0"/>
        <v/>
      </c>
      <c r="P38" s="28" t="str">
        <f t="shared" si="1"/>
        <v/>
      </c>
    </row>
    <row r="39" spans="1:16" ht="18" customHeight="1">
      <c r="A39" s="178"/>
      <c r="B39" s="35" t="s">
        <v>214</v>
      </c>
      <c r="C39" s="31"/>
      <c r="D39" s="31">
        <f ca="1">0.4*OFFSET(D$112,MATCH($N$1,$C$112:$C$113,0)-1,0)</f>
        <v>0.4</v>
      </c>
      <c r="E39" s="31">
        <f ca="1">0.2*OFFSET(E$112,MATCH($N$1,$C$112:$C$113,0)-1,0)</f>
        <v>0.2</v>
      </c>
      <c r="F39" s="31">
        <f ca="1">0.1*OFFSET(F$112,MATCH($N$1,$C$112:$C$113,0)-1,0)</f>
        <v>0.1</v>
      </c>
      <c r="G39" s="31">
        <f ca="1">0.4*OFFSET(G$112,MATCH($N$1,$C$112:$C$113,0)-1,0)</f>
        <v>0.4</v>
      </c>
      <c r="H39" s="31">
        <f ca="1">0.3*OFFSET(H$112,MATCH($N$1,$C$112:$C$113,0)-1,0)</f>
        <v>0.3</v>
      </c>
      <c r="I39" s="31">
        <f ca="1">0.3*OFFSET(I$112,MATCH($N$1,$C$112:$C$113,0)-1,0)</f>
        <v>0.3</v>
      </c>
      <c r="J39" s="31">
        <f ca="1">0.1*OFFSET(J$112,MATCH($N$1,$C$112:$C$113,0)-1,0)</f>
        <v>0.1</v>
      </c>
      <c r="K39" s="31">
        <f ca="1">0.2*OFFSET(K$112,MATCH($N$1,$C$112:$C$113,0)-1,0)</f>
        <v>0.2</v>
      </c>
      <c r="L39" s="31">
        <f ca="1">0.5*OFFSET(L$112,MATCH($N$1,$C$112:$C$113,0)-1,0)</f>
        <v>0.5</v>
      </c>
      <c r="M39" s="31">
        <f ca="1">0.2*OFFSET(M$112,MATCH($N$1,$C$112:$C$113,0)-1,0)</f>
        <v>0.2</v>
      </c>
      <c r="N39" s="31"/>
      <c r="O39" s="28" t="str">
        <f t="shared" si="0"/>
        <v/>
      </c>
      <c r="P39" s="28" t="str">
        <f t="shared" si="1"/>
        <v/>
      </c>
    </row>
    <row r="40" spans="1:16" ht="18" customHeight="1">
      <c r="A40" s="178"/>
      <c r="B40" s="35" t="s">
        <v>215</v>
      </c>
      <c r="C40" s="31"/>
      <c r="D40" s="31">
        <f ca="1">1.1*OFFSET(D$112,MATCH($N$1,$C$112:$C$113,0)-1,0)</f>
        <v>1.1000000000000001</v>
      </c>
      <c r="E40" s="31">
        <f ca="1">0.3*OFFSET(E$112,MATCH($N$1,$C$112:$C$113,0)-1,0)</f>
        <v>0.3</v>
      </c>
      <c r="F40" s="31">
        <f ca="1">0.2*OFFSET(F$112,MATCH($N$1,$C$112:$C$113,0)-1,0)</f>
        <v>0.2</v>
      </c>
      <c r="G40" s="31">
        <f ca="1">0.3*OFFSET(G$112,MATCH($N$1,$C$112:$C$113,0)-1,0)</f>
        <v>0.3</v>
      </c>
      <c r="H40" s="31">
        <f ca="1">0.2*OFFSET(H$112,MATCH($N$1,$C$112:$C$113,0)-1,0)</f>
        <v>0.2</v>
      </c>
      <c r="I40" s="31">
        <f ca="1">0.1*OFFSET(I$112,MATCH($N$1,$C$112:$C$113,0)-1,0)</f>
        <v>0.1</v>
      </c>
      <c r="J40" s="31">
        <f ca="1">0.1*OFFSET(J$112,MATCH($N$1,$C$112:$C$113,0)-1,0)</f>
        <v>0.1</v>
      </c>
      <c r="K40" s="31">
        <f ca="1">0.1*OFFSET(K$112,MATCH($N$1,$C$112:$C$113,0)-1,0)</f>
        <v>0.1</v>
      </c>
      <c r="L40" s="31">
        <f ca="1">0.1*OFFSET(L$112,MATCH($N$1,$C$112:$C$113,0)-1,0)</f>
        <v>0.1</v>
      </c>
      <c r="M40" s="31">
        <f ca="1">0.3*OFFSET(M$112,MATCH($N$1,$C$112:$C$113,0)-1,0)</f>
        <v>0.3</v>
      </c>
      <c r="N40" s="31"/>
      <c r="O40" s="28" t="str">
        <f t="shared" si="0"/>
        <v/>
      </c>
      <c r="P40" s="28" t="str">
        <f t="shared" si="1"/>
        <v/>
      </c>
    </row>
    <row r="41" spans="1:16" ht="18" customHeight="1" thickBot="1">
      <c r="A41" s="179"/>
      <c r="B41" s="42" t="s">
        <v>216</v>
      </c>
      <c r="C41" s="43"/>
      <c r="D41" s="43">
        <f ca="1">5.9*OFFSET(D$112,MATCH($N$1,$C$112:$C$113,0)-1,0)</f>
        <v>5.9</v>
      </c>
      <c r="E41" s="43">
        <f ca="1">-0.7*OFFSET(E$112,MATCH($N$1,$C$112:$C$113,0)-1,0)</f>
        <v>-0.7</v>
      </c>
      <c r="F41" s="43">
        <f ca="1">5.2*OFFSET(F$112,MATCH($N$1,$C$112:$C$113,0)-1,0)</f>
        <v>5.2</v>
      </c>
      <c r="G41" s="43">
        <f ca="1">8*OFFSET(G$112,MATCH($N$1,$C$112:$C$113,0)-1,0)</f>
        <v>8</v>
      </c>
      <c r="H41" s="43">
        <f ca="1">7.2*OFFSET(H$112,MATCH($N$1,$C$112:$C$113,0)-1,0)</f>
        <v>7.2</v>
      </c>
      <c r="I41" s="43">
        <f ca="1">12.1*OFFSET(I$112,MATCH($N$1,$C$112:$C$113,0)-1,0)</f>
        <v>12.1</v>
      </c>
      <c r="J41" s="43">
        <f ca="1">13.4*OFFSET(J$112,MATCH($N$1,$C$112:$C$113,0)-1,0)</f>
        <v>13.4</v>
      </c>
      <c r="K41" s="43">
        <f ca="1">11.2*OFFSET(K$112,MATCH($N$1,$C$112:$C$113,0)-1,0)</f>
        <v>11.2</v>
      </c>
      <c r="L41" s="43">
        <f ca="1">8.9*OFFSET(L$112,MATCH($N$1,$C$112:$C$113,0)-1,0)</f>
        <v>8.9</v>
      </c>
      <c r="M41" s="43">
        <f ca="1">10.4*OFFSET(M$112,MATCH($N$1,$C$112:$C$113,0)-1,0)</f>
        <v>10.4</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159</v>
      </c>
      <c r="F46" s="90" t="s">
        <v>159</v>
      </c>
      <c r="G46" s="90" t="s">
        <v>158</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Under 10m using hooks</v>
      </c>
      <c r="B48" s="202"/>
      <c r="C48" s="92"/>
      <c r="D48" s="92"/>
      <c r="E48" s="92"/>
      <c r="F48" s="92"/>
      <c r="G48" s="92"/>
      <c r="H48" s="202"/>
      <c r="I48" s="202"/>
      <c r="J48" s="202"/>
      <c r="K48" s="92" t="str">
        <f>$B24&amp;CHAR(10)&amp;$A$1</f>
        <v>Operating profit per kW day at sea (£)
Under 10m using hooks</v>
      </c>
      <c r="L48" s="202"/>
      <c r="M48" s="202"/>
      <c r="N48" s="202"/>
      <c r="O48" s="202"/>
      <c r="P48" s="202"/>
    </row>
    <row r="49" spans="1:11" s="80" customFormat="1">
      <c r="A49" s="92" t="str">
        <f>$B22&amp;CHAR(10)&amp;$A$1</f>
        <v>Fishing income per kW day at sea (£)
Under 10m using hooks</v>
      </c>
      <c r="B49" s="202"/>
      <c r="C49" s="202"/>
      <c r="D49" s="202"/>
      <c r="E49" s="202"/>
      <c r="F49" s="202"/>
      <c r="G49" s="202"/>
      <c r="H49" s="202"/>
      <c r="I49" s="202"/>
      <c r="J49" s="202"/>
      <c r="K49" s="202"/>
    </row>
    <row r="50" spans="1:11" s="80" customFormat="1">
      <c r="A50" s="92" t="str">
        <f>$B20&amp;CHAR(10)&amp;$A$1</f>
        <v>Average price per tonne landed (£)
Under 10m using hooks</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Under 10m using hooks</v>
      </c>
      <c r="C62" s="202"/>
      <c r="D62" s="202"/>
      <c r="E62" s="202"/>
      <c r="F62" s="92" t="str">
        <f>$B20&amp;CHAR(10)&amp;$A$1</f>
        <v>Average price per tonne landed (£)
Under 10m using hooks</v>
      </c>
      <c r="G62" s="202"/>
      <c r="H62" s="202"/>
      <c r="I62" s="202"/>
      <c r="J62" s="202"/>
      <c r="K62" s="92" t="str">
        <f>"Average annual operating profit per vessel (£'000)"&amp;CHAR(10)&amp;$A$1</f>
        <v>Average annual operating profit per vessel (£'000)
Under 10m using hooks</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Under 10m using hooks</v>
      </c>
      <c r="F76" s="92" t="str">
        <f>"Top 5 landed species by value in "&amp;A77&amp;CHAR(10)&amp;A1</f>
        <v>Top 5 landed species by value in 2019
Under 10m using hooks</v>
      </c>
    </row>
    <row r="77" spans="1:11" s="92" customFormat="1">
      <c r="A77" s="92">
        <v>2019</v>
      </c>
      <c r="B77" s="92" t="s">
        <v>609</v>
      </c>
      <c r="C77" s="93">
        <v>0.39572211686008746</v>
      </c>
      <c r="D77" s="94">
        <v>1692097</v>
      </c>
      <c r="G77" s="92" t="s">
        <v>610</v>
      </c>
      <c r="H77" s="93">
        <v>0.35701700681353887</v>
      </c>
      <c r="I77" s="94">
        <v>12153634</v>
      </c>
      <c r="K77" s="92" t="s">
        <v>230</v>
      </c>
    </row>
    <row r="78" spans="1:11" s="92" customFormat="1">
      <c r="B78" s="92" t="s">
        <v>611</v>
      </c>
      <c r="C78" s="93">
        <v>0.18693338548228045</v>
      </c>
      <c r="D78" s="94">
        <v>3050596</v>
      </c>
      <c r="G78" s="92" t="s">
        <v>612</v>
      </c>
      <c r="H78" s="93">
        <v>0.21148191820148865</v>
      </c>
      <c r="I78" s="94">
        <v>553960</v>
      </c>
    </row>
    <row r="79" spans="1:11" s="92" customFormat="1">
      <c r="B79" s="92" t="s">
        <v>613</v>
      </c>
      <c r="C79" s="93">
        <v>0.17318185122634458</v>
      </c>
      <c r="D79" s="94">
        <v>12153634</v>
      </c>
      <c r="G79" s="92" t="s">
        <v>614</v>
      </c>
      <c r="H79" s="93">
        <v>0.16231023440821229</v>
      </c>
      <c r="I79" s="94">
        <v>3050596</v>
      </c>
    </row>
    <row r="80" spans="1:11" s="92" customFormat="1">
      <c r="B80" s="92" t="s">
        <v>615</v>
      </c>
      <c r="C80" s="93">
        <v>7.7236788739002735E-2</v>
      </c>
      <c r="D80" s="94">
        <v>553960</v>
      </c>
      <c r="G80" s="92" t="s">
        <v>616</v>
      </c>
      <c r="H80" s="93">
        <v>0.13600990279549099</v>
      </c>
      <c r="I80" s="94">
        <v>1692097</v>
      </c>
    </row>
    <row r="81" spans="1:19" s="92" customFormat="1">
      <c r="B81" s="92" t="s">
        <v>617</v>
      </c>
      <c r="C81" s="93">
        <v>5.010019992982976E-2</v>
      </c>
      <c r="D81" s="94">
        <v>11115023</v>
      </c>
      <c r="G81" s="92" t="s">
        <v>618</v>
      </c>
      <c r="H81" s="93">
        <v>4.10463273202024E-2</v>
      </c>
      <c r="I81" s="94">
        <v>3689192</v>
      </c>
    </row>
    <row r="82" spans="1:19" s="92" customFormat="1">
      <c r="B82" s="92" t="s">
        <v>619</v>
      </c>
      <c r="C82" s="93">
        <v>0.11682565776245513</v>
      </c>
      <c r="D82" s="94">
        <v>5920853</v>
      </c>
      <c r="G82" s="92" t="s">
        <v>620</v>
      </c>
      <c r="H82" s="93">
        <v>9.2134610461066857E-2</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173</v>
      </c>
      <c r="D92" s="98">
        <v>0.22490550762382239</v>
      </c>
      <c r="E92" s="98">
        <v>0.27919446797822484</v>
      </c>
      <c r="F92" s="98">
        <v>0.31141667646468979</v>
      </c>
      <c r="G92" s="98">
        <v>0.13783119231677812</v>
      </c>
      <c r="H92" s="98">
        <v>0.21859195914844093</v>
      </c>
      <c r="I92" s="98">
        <v>0.28741259088271609</v>
      </c>
      <c r="J92" s="98">
        <v>0.29544275449194413</v>
      </c>
      <c r="K92" s="98">
        <v>0.27208691758001519</v>
      </c>
      <c r="L92" s="98">
        <v>0.35701700681353887</v>
      </c>
      <c r="M92" s="98">
        <v>0.29912202208464417</v>
      </c>
      <c r="O92" s="92">
        <v>12153634</v>
      </c>
    </row>
    <row r="93" spans="1:19" s="92" customFormat="1" hidden="1">
      <c r="B93" s="92">
        <v>2</v>
      </c>
      <c r="C93" s="92" t="s">
        <v>361</v>
      </c>
      <c r="D93" s="98">
        <v>0.17174987626890278</v>
      </c>
      <c r="E93" s="98">
        <v>0.21248345121293941</v>
      </c>
      <c r="F93" s="98">
        <v>0.22682605482325513</v>
      </c>
      <c r="G93" s="98">
        <v>0.32116198684164082</v>
      </c>
      <c r="H93" s="98">
        <v>0.25458513133870647</v>
      </c>
      <c r="I93" s="98">
        <v>0.2262429138774022</v>
      </c>
      <c r="J93" s="98">
        <v>0.21050645095815926</v>
      </c>
      <c r="K93" s="98">
        <v>0.24150489706503203</v>
      </c>
      <c r="L93" s="98">
        <v>0.21148191820148865</v>
      </c>
      <c r="M93" s="98">
        <v>0.26482497575577718</v>
      </c>
      <c r="O93" s="92">
        <v>553960</v>
      </c>
    </row>
    <row r="94" spans="1:19" s="92" customFormat="1" hidden="1">
      <c r="B94" s="92">
        <v>3</v>
      </c>
      <c r="C94" s="92" t="s">
        <v>172</v>
      </c>
      <c r="D94" s="98">
        <v>0.2158396310676659</v>
      </c>
      <c r="E94" s="98">
        <v>0.16754322252222756</v>
      </c>
      <c r="F94" s="98">
        <v>0.16996219309375496</v>
      </c>
      <c r="G94" s="98">
        <v>0.26057548135537073</v>
      </c>
      <c r="H94" s="98">
        <v>0.289731815883218</v>
      </c>
      <c r="I94" s="98">
        <v>0.21521991971403304</v>
      </c>
      <c r="J94" s="98">
        <v>0.16594160609956454</v>
      </c>
      <c r="K94" s="98">
        <v>0.17934107830268026</v>
      </c>
      <c r="L94" s="98">
        <v>0.16231023440821229</v>
      </c>
      <c r="M94" s="98">
        <v>0.1447168933799502</v>
      </c>
      <c r="O94" s="92">
        <v>3050596</v>
      </c>
    </row>
    <row r="95" spans="1:19" s="92" customFormat="1" hidden="1">
      <c r="B95" s="92">
        <v>4</v>
      </c>
      <c r="C95" s="92" t="s">
        <v>124</v>
      </c>
      <c r="D95" s="98">
        <v>0.16132108461142552</v>
      </c>
      <c r="E95" s="98">
        <v>0.13148248361667758</v>
      </c>
      <c r="F95" s="98">
        <v>0.10673358043299384</v>
      </c>
      <c r="G95" s="98">
        <v>0.10508980186432716</v>
      </c>
      <c r="H95" s="98">
        <v>8.0592152990605431E-2</v>
      </c>
      <c r="I95" s="98">
        <v>0.10358897568382357</v>
      </c>
      <c r="J95" s="98">
        <v>0.15261576022701329</v>
      </c>
      <c r="K95" s="98">
        <v>0.12186294089352287</v>
      </c>
      <c r="L95" s="98">
        <v>0.13600990279549099</v>
      </c>
      <c r="M95" s="98">
        <v>0.15716319163855871</v>
      </c>
      <c r="O95" s="92">
        <v>1692097</v>
      </c>
    </row>
    <row r="96" spans="1:19" s="92" customFormat="1" hidden="1">
      <c r="B96" s="92">
        <v>5</v>
      </c>
      <c r="C96" s="92" t="s">
        <v>242</v>
      </c>
      <c r="D96" s="98">
        <v>0.10078221140297357</v>
      </c>
      <c r="E96" s="98">
        <v>7.6646412587359283E-2</v>
      </c>
      <c r="F96" s="98">
        <v>7.2725228129391348E-2</v>
      </c>
      <c r="G96" s="98">
        <v>5.4083653060282448E-2</v>
      </c>
      <c r="H96" s="98">
        <v>6.912197334418746E-2</v>
      </c>
      <c r="I96" s="98">
        <v>5.6030024507622109E-2</v>
      </c>
      <c r="J96" s="98">
        <v>6.4978593939146692E-2</v>
      </c>
      <c r="K96" s="98">
        <v>5.9038540780753532E-2</v>
      </c>
      <c r="L96" s="98">
        <v>4.10463273202024E-2</v>
      </c>
      <c r="M96" s="98"/>
      <c r="O96" s="92">
        <v>3689192</v>
      </c>
    </row>
    <row r="97" spans="1:15" s="92" customFormat="1" hidden="1">
      <c r="B97" s="92">
        <v>6</v>
      </c>
      <c r="C97" s="92" t="s">
        <v>241</v>
      </c>
      <c r="D97" s="98"/>
      <c r="E97" s="98"/>
      <c r="F97" s="98"/>
      <c r="G97" s="98"/>
      <c r="H97" s="98"/>
      <c r="I97" s="98"/>
      <c r="J97" s="98"/>
      <c r="K97" s="98"/>
      <c r="L97" s="98"/>
      <c r="M97" s="98">
        <v>3.0924791992240751E-2</v>
      </c>
      <c r="O97" s="92">
        <v>11115023</v>
      </c>
    </row>
    <row r="98" spans="1:15" s="92" customFormat="1" hidden="1">
      <c r="B98" s="92">
        <v>7</v>
      </c>
      <c r="C98" s="92" t="s">
        <v>245</v>
      </c>
      <c r="D98" s="98">
        <v>0.12540168902520984</v>
      </c>
      <c r="E98" s="98">
        <v>0.13264996208257132</v>
      </c>
      <c r="F98" s="98">
        <v>0.11233626705591494</v>
      </c>
      <c r="G98" s="98">
        <v>0.12125788456160072</v>
      </c>
      <c r="H98" s="98">
        <v>8.7376967294841665E-2</v>
      </c>
      <c r="I98" s="98">
        <v>0.11150557533440301</v>
      </c>
      <c r="J98" s="98">
        <v>0.11051483428417211</v>
      </c>
      <c r="K98" s="98">
        <v>0.12616562537799614</v>
      </c>
      <c r="L98" s="98">
        <v>9.2134610461066774E-2</v>
      </c>
      <c r="M98" s="98">
        <v>0.10324812514882897</v>
      </c>
      <c r="O98" s="92">
        <v>5920853</v>
      </c>
    </row>
    <row r="99" spans="1:15" s="92" customFormat="1" hidden="1">
      <c r="B99" s="92">
        <v>8</v>
      </c>
      <c r="D99" s="98"/>
      <c r="E99" s="98"/>
      <c r="F99" s="98"/>
      <c r="G99" s="98"/>
      <c r="H99" s="98"/>
      <c r="I99" s="98"/>
      <c r="J99" s="98"/>
      <c r="K99" s="98"/>
      <c r="L99" s="98"/>
      <c r="M99" s="98"/>
      <c r="O99" s="92">
        <v>7434864</v>
      </c>
    </row>
    <row r="100" spans="1:15" s="92" customFormat="1" hidden="1">
      <c r="B100" s="92">
        <v>9</v>
      </c>
      <c r="D100" s="98"/>
      <c r="E100" s="98"/>
      <c r="F100" s="98"/>
      <c r="G100" s="98"/>
      <c r="H100" s="98"/>
      <c r="I100" s="98"/>
      <c r="J100" s="98"/>
      <c r="K100" s="98"/>
      <c r="L100" s="98"/>
      <c r="M100" s="98"/>
      <c r="O100" s="92">
        <v>8497745</v>
      </c>
    </row>
    <row r="101" spans="1:15" s="92" customFormat="1" hidden="1">
      <c r="B101" s="92">
        <v>10</v>
      </c>
      <c r="D101" s="98"/>
      <c r="E101" s="98"/>
      <c r="F101" s="98"/>
      <c r="G101" s="98"/>
      <c r="H101" s="98"/>
      <c r="I101" s="98"/>
      <c r="J101" s="98"/>
      <c r="K101" s="98"/>
      <c r="L101" s="98"/>
      <c r="M101" s="98"/>
      <c r="O101" s="92">
        <v>14393110</v>
      </c>
    </row>
    <row r="102" spans="1:15" s="92" customFormat="1" hidden="1">
      <c r="B102" s="92">
        <v>11</v>
      </c>
      <c r="D102" s="98"/>
      <c r="E102" s="98"/>
      <c r="F102" s="98"/>
      <c r="G102" s="98"/>
      <c r="H102" s="98"/>
      <c r="I102" s="98"/>
      <c r="J102" s="98"/>
      <c r="K102" s="98"/>
      <c r="L102" s="98"/>
      <c r="M102" s="98"/>
      <c r="O102" s="92">
        <v>2887140</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8</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50</v>
      </c>
      <c r="D120" s="54">
        <v>98</v>
      </c>
      <c r="E120" s="54">
        <v>50</v>
      </c>
      <c r="F120" s="55">
        <v>198</v>
      </c>
    </row>
    <row r="121" spans="1:15" ht="18" customHeight="1">
      <c r="A121" s="173" t="s">
        <v>191</v>
      </c>
      <c r="B121" s="33" t="s">
        <v>192</v>
      </c>
      <c r="C121" s="56">
        <v>6.4828000068664551</v>
      </c>
      <c r="D121" s="56">
        <v>6.9953060150146484</v>
      </c>
      <c r="E121" s="56">
        <v>7.9284000396728516</v>
      </c>
      <c r="F121" s="57">
        <v>7.1015152931213379</v>
      </c>
      <c r="G121" s="206"/>
      <c r="H121" s="206"/>
      <c r="I121" s="206"/>
      <c r="J121" s="206"/>
      <c r="K121" s="206"/>
      <c r="L121" s="206"/>
      <c r="M121" s="206"/>
      <c r="N121" s="206"/>
      <c r="O121" s="206"/>
    </row>
    <row r="122" spans="1:15" ht="18" customHeight="1">
      <c r="A122" s="174"/>
      <c r="B122" s="35" t="s">
        <v>184</v>
      </c>
      <c r="C122" s="58">
        <v>35.740001678466797</v>
      </c>
      <c r="D122" s="58">
        <v>61.061223983764648</v>
      </c>
      <c r="E122" s="58">
        <v>116.13999938964844</v>
      </c>
      <c r="F122" s="59">
        <v>68.575759887695313</v>
      </c>
      <c r="G122" s="206"/>
      <c r="H122" s="206"/>
      <c r="I122" s="206"/>
      <c r="J122" s="206"/>
      <c r="K122" s="206"/>
      <c r="L122" s="206"/>
      <c r="M122" s="206"/>
      <c r="N122" s="206"/>
      <c r="O122" s="206"/>
    </row>
    <row r="123" spans="1:15" ht="18" customHeight="1">
      <c r="A123" s="174"/>
      <c r="B123" s="35" t="s">
        <v>185</v>
      </c>
      <c r="C123" s="58">
        <v>2.1224489212036133</v>
      </c>
      <c r="D123" s="58">
        <v>2.9947959184646606</v>
      </c>
      <c r="E123" s="58">
        <v>3.559999942779541</v>
      </c>
      <c r="F123" s="59">
        <v>2.9212689399719238</v>
      </c>
      <c r="G123" s="206"/>
      <c r="H123" s="206"/>
      <c r="I123" s="206"/>
      <c r="J123" s="206"/>
      <c r="K123" s="206"/>
      <c r="L123" s="206"/>
      <c r="M123" s="206"/>
      <c r="N123" s="206"/>
      <c r="O123" s="206"/>
    </row>
    <row r="124" spans="1:15" ht="18" customHeight="1">
      <c r="A124" s="174"/>
      <c r="B124" s="35" t="s">
        <v>186</v>
      </c>
      <c r="C124" s="58">
        <v>32.22296142578125</v>
      </c>
      <c r="D124" s="58">
        <v>46.888238906860352</v>
      </c>
      <c r="E124" s="58">
        <v>76.600723266601563</v>
      </c>
      <c r="F124" s="59">
        <v>50.688037872314453</v>
      </c>
      <c r="G124" s="206"/>
      <c r="H124" s="206"/>
      <c r="I124" s="206"/>
      <c r="J124" s="206"/>
      <c r="K124" s="206"/>
      <c r="L124" s="206"/>
      <c r="M124" s="206"/>
      <c r="N124" s="206"/>
      <c r="O124" s="206"/>
    </row>
    <row r="125" spans="1:15" ht="18" customHeight="1">
      <c r="A125" s="174"/>
      <c r="B125" s="35" t="s">
        <v>187</v>
      </c>
      <c r="C125" s="31">
        <v>14.361809730529785</v>
      </c>
      <c r="D125" s="31">
        <v>12.991484642028809</v>
      </c>
      <c r="E125" s="31">
        <v>6.9222402572631836</v>
      </c>
      <c r="F125" s="60">
        <v>11.804888725280762</v>
      </c>
      <c r="G125" s="206"/>
      <c r="H125" s="206"/>
      <c r="I125" s="206"/>
      <c r="J125" s="206"/>
      <c r="K125" s="206"/>
      <c r="L125" s="206"/>
      <c r="M125" s="206"/>
      <c r="N125" s="206"/>
      <c r="O125" s="206"/>
    </row>
    <row r="126" spans="1:15" ht="18" customHeight="1">
      <c r="A126" s="174"/>
      <c r="B126" s="35" t="s">
        <v>193</v>
      </c>
      <c r="C126" s="31">
        <f ca="1">79.66134375*OFFSET($L$112,MATCH($N$1,$C$112:$C$113,0)-1,0)</f>
        <v>79.66134375</v>
      </c>
      <c r="D126" s="31">
        <f ca="1">48.427705078125*OFFSET($L$112,MATCH($N$1,$C$112:$C$113,0)-1,0)</f>
        <v>48.427705078125001</v>
      </c>
      <c r="E126" s="31">
        <f ca="1">25.22358203125*OFFSET($L$112,MATCH($N$1,$C$112:$C$113,0)-1,0)</f>
        <v>25.22358203125</v>
      </c>
      <c r="F126" s="60">
        <f ca="1">50.455359375*OFFSET($L$112,MATCH($N$1,$C$112:$C$113,0)-1,0)</f>
        <v>50.455359375</v>
      </c>
      <c r="G126" s="206"/>
      <c r="H126" s="206"/>
      <c r="I126" s="206"/>
      <c r="J126" s="206"/>
      <c r="K126" s="206"/>
      <c r="L126" s="206"/>
      <c r="M126" s="206"/>
      <c r="N126" s="206"/>
      <c r="O126" s="206"/>
    </row>
    <row r="127" spans="1:15" ht="18" customHeight="1">
      <c r="A127" s="174"/>
      <c r="B127" s="35" t="s">
        <v>189</v>
      </c>
      <c r="C127" s="58">
        <v>52.479999542236328</v>
      </c>
      <c r="D127" s="58">
        <v>68.183673858642578</v>
      </c>
      <c r="E127" s="58">
        <v>57.700000762939453</v>
      </c>
      <c r="F127" s="59">
        <v>61.570705413818359</v>
      </c>
      <c r="G127" s="206"/>
      <c r="H127" s="206"/>
      <c r="I127" s="206"/>
      <c r="J127" s="206"/>
      <c r="K127" s="206"/>
      <c r="L127" s="206"/>
      <c r="M127" s="206"/>
      <c r="N127" s="206"/>
      <c r="O127" s="206"/>
    </row>
    <row r="128" spans="1:15" ht="18" customHeight="1">
      <c r="A128" s="174"/>
      <c r="B128" s="35" t="s">
        <v>194</v>
      </c>
      <c r="C128" s="58">
        <v>27.020000457763672</v>
      </c>
      <c r="D128" s="58">
        <v>24.183673858642578</v>
      </c>
      <c r="E128" s="58">
        <v>20.659999847412109</v>
      </c>
      <c r="F128" s="59">
        <v>24.010101318359375</v>
      </c>
      <c r="G128" s="206"/>
      <c r="H128" s="206"/>
      <c r="I128" s="206"/>
      <c r="J128" s="206"/>
      <c r="K128" s="206"/>
      <c r="L128" s="206"/>
      <c r="M128" s="206"/>
      <c r="N128" s="206"/>
      <c r="O128" s="206"/>
    </row>
    <row r="129" spans="1:15" ht="18" customHeight="1">
      <c r="A129" s="174"/>
      <c r="B129" s="35" t="s">
        <v>195</v>
      </c>
      <c r="C129" s="61">
        <v>0.27366253733634949</v>
      </c>
      <c r="D129" s="61">
        <v>0.19053658899288076</v>
      </c>
      <c r="E129" s="61">
        <v>0.11996950209140778</v>
      </c>
      <c r="F129" s="62">
        <v>0.19172897934913635</v>
      </c>
      <c r="G129" s="206"/>
      <c r="H129" s="206"/>
      <c r="I129" s="206"/>
      <c r="J129" s="206"/>
      <c r="K129" s="206"/>
      <c r="L129" s="206"/>
      <c r="M129" s="206"/>
      <c r="N129" s="206"/>
      <c r="O129" s="206"/>
    </row>
    <row r="130" spans="1:15" ht="18" customHeight="1">
      <c r="A130" s="175"/>
      <c r="B130" s="37" t="s">
        <v>196</v>
      </c>
      <c r="C130" s="38">
        <f ca="1">5546.74830294256*OFFSET($L$112,MATCH($N$1,$C$112:$C$113,0)-1,0)</f>
        <v>5546.7483029425603</v>
      </c>
      <c r="D130" s="38">
        <f ca="1">3727.64979619468*OFFSET($L$112,MATCH($N$1,$C$112:$C$113,0)-1,0)</f>
        <v>3727.6497961946802</v>
      </c>
      <c r="E130" s="38">
        <f ca="1">3643.84665857041*OFFSET($L$112,MATCH($N$1,$C$112:$C$113,0)-1,0)</f>
        <v>3643.84665857041</v>
      </c>
      <c r="F130" s="63">
        <f ca="1">4274*OFFSET($L$112,MATCH($N$1,$C$112:$C$113,0)-1,0)</f>
        <v>4274</v>
      </c>
      <c r="G130" s="206"/>
      <c r="H130" s="206"/>
      <c r="I130" s="206"/>
      <c r="J130" s="206"/>
      <c r="K130" s="206"/>
      <c r="L130" s="206"/>
      <c r="M130" s="206"/>
      <c r="N130" s="206"/>
      <c r="O130" s="206"/>
    </row>
    <row r="131" spans="1:15" ht="18" customHeight="1">
      <c r="A131" s="184" t="s">
        <v>197</v>
      </c>
      <c r="B131" s="33" t="s">
        <v>198</v>
      </c>
      <c r="C131" s="64">
        <v>7.0788981332715775</v>
      </c>
      <c r="D131" s="64">
        <v>3.4098748691454768</v>
      </c>
      <c r="E131" s="64">
        <v>1.1448834298557666</v>
      </c>
      <c r="F131" s="65">
        <v>3.0076961558818702</v>
      </c>
      <c r="G131" s="206"/>
      <c r="H131" s="206"/>
      <c r="I131" s="206"/>
      <c r="J131" s="206"/>
      <c r="K131" s="206"/>
      <c r="L131" s="206"/>
      <c r="M131" s="206"/>
      <c r="N131" s="206"/>
      <c r="O131" s="206"/>
    </row>
    <row r="132" spans="1:15" ht="18" customHeight="1">
      <c r="A132" s="185"/>
      <c r="B132" s="35" t="s">
        <v>199</v>
      </c>
      <c r="C132" s="61">
        <f ca="1">39.2648662074274*OFFSET($L$112,MATCH($N$1,$C$112:$C$113,0)-1,0)</f>
        <v>39.264866207427403</v>
      </c>
      <c r="D132" s="61">
        <f ca="1">12.7108193610195*OFFSET($L$112,MATCH($N$1,$C$112:$C$113,0)-1,0)</f>
        <v>12.710819361019499</v>
      </c>
      <c r="E132" s="61">
        <f ca="1">4.17177966033256*OFFSET($L$112,MATCH($N$1,$C$112:$C$113,0)-1,0)</f>
        <v>4.1717796603325601</v>
      </c>
      <c r="F132" s="62">
        <f ca="1">12.8552156625446*OFFSET($L$112,MATCH($N$1,$C$112:$C$113,0)-1,0)</f>
        <v>12.8552156625446</v>
      </c>
      <c r="G132" s="206"/>
      <c r="H132" s="206"/>
      <c r="I132" s="206"/>
      <c r="J132" s="206"/>
      <c r="K132" s="206"/>
      <c r="L132" s="206"/>
      <c r="M132" s="206"/>
      <c r="N132" s="206"/>
      <c r="O132" s="206"/>
    </row>
    <row r="133" spans="1:15" ht="18" customHeight="1">
      <c r="A133" s="185"/>
      <c r="B133" s="35" t="s">
        <v>154</v>
      </c>
      <c r="C133" s="61">
        <f ca="1">26.0271024957562*OFFSET($L$112,MATCH($N$1,$C$112:$C$113,0)-1,0)</f>
        <v>26.0271024957562</v>
      </c>
      <c r="D133" s="61">
        <f ca="1">8.89501318870058*OFFSET($L$112,MATCH($N$1,$C$112:$C$113,0)-1,0)</f>
        <v>8.8950131887005792</v>
      </c>
      <c r="E133" s="61">
        <f ca="1">3.38799114894167*OFFSET($L$112,MATCH($N$1,$C$112:$C$113,0)-1,0)</f>
        <v>3.3879911489416701</v>
      </c>
      <c r="F133" s="62">
        <f ca="1">8.98902227033149*OFFSET($L$112,MATCH($N$1,$C$112:$C$113,0)-1,0)</f>
        <v>8.9890222703314908</v>
      </c>
      <c r="G133" s="206"/>
      <c r="H133" s="206"/>
      <c r="I133" s="206"/>
      <c r="J133" s="206"/>
      <c r="K133" s="206"/>
      <c r="L133" s="206"/>
      <c r="M133" s="206"/>
      <c r="N133" s="206"/>
      <c r="O133" s="206"/>
    </row>
    <row r="134" spans="1:15" ht="18" customHeight="1">
      <c r="A134" s="186"/>
      <c r="B134" s="37" t="s">
        <v>155</v>
      </c>
      <c r="C134" s="66">
        <f ca="1">13.2377637116712*OFFSET($L$112,MATCH($N$1,$C$112:$C$113,0)-1,0)</f>
        <v>13.237763711671199</v>
      </c>
      <c r="D134" s="66">
        <f ca="1">3.81580617231892*OFFSET($L$112,MATCH($N$1,$C$112:$C$113,0)-1,0)</f>
        <v>3.8158061723189198</v>
      </c>
      <c r="E134" s="66">
        <f ca="1">0.783788511390892*OFFSET($L$112,MATCH($N$1,$C$112:$C$113,0)-1,0)</f>
        <v>0.78378851139089201</v>
      </c>
      <c r="F134" s="67">
        <f ca="1">3.86619339221314*OFFSET($L$112,MATCH($N$1,$C$112:$C$113,0)-1,0)</f>
        <v>3.8661933922131402</v>
      </c>
      <c r="G134" s="206"/>
      <c r="H134" s="206"/>
      <c r="I134" s="206"/>
      <c r="J134" s="206"/>
      <c r="K134" s="206"/>
      <c r="L134" s="206"/>
      <c r="M134" s="206"/>
      <c r="N134" s="206"/>
      <c r="O134" s="206"/>
    </row>
    <row r="135" spans="1:15" ht="18" customHeight="1">
      <c r="A135" s="187" t="s">
        <v>254</v>
      </c>
      <c r="B135" s="35" t="s">
        <v>255</v>
      </c>
      <c r="C135" s="68">
        <f ca="1">1.12305261230469*OFFSET($L$112,MATCH($N$1,$C$112:$C$113,0)-1,0)</f>
        <v>1.12305261230469</v>
      </c>
      <c r="D135" s="68">
        <f ca="1">2.47158489990234*OFFSET($L$112,MATCH($N$1,$C$112:$C$113,0)-1,0)</f>
        <v>2.4715848999023402</v>
      </c>
      <c r="E135" s="68">
        <f ca="1">4.12050634765625*OFFSET($L$112,MATCH($N$1,$C$112:$C$113,0)-1,0)</f>
        <v>4.1205063476562502</v>
      </c>
      <c r="F135" s="69">
        <f ca="1">2.54744091796875*OFFSET($L$112,MATCH($N$1,$C$112:$C$113,0)-1,0)</f>
        <v>2.5474409179687498</v>
      </c>
      <c r="G135" s="206"/>
      <c r="H135" s="206"/>
      <c r="I135" s="206"/>
      <c r="J135" s="206"/>
      <c r="K135" s="206"/>
      <c r="L135" s="206"/>
      <c r="M135" s="206"/>
      <c r="N135" s="206"/>
      <c r="O135" s="206"/>
    </row>
    <row r="136" spans="1:15" ht="18" customHeight="1">
      <c r="A136" s="188"/>
      <c r="B136" s="35" t="s">
        <v>256</v>
      </c>
      <c r="C136" s="30">
        <v>2126.3999179756356</v>
      </c>
      <c r="D136" s="30">
        <v>4693.4693243136862</v>
      </c>
      <c r="E136" s="30">
        <v>7811.5998301567161</v>
      </c>
      <c r="F136" s="70">
        <v>4832.6262626262624</v>
      </c>
      <c r="G136" s="206"/>
      <c r="H136" s="206"/>
      <c r="I136" s="206"/>
      <c r="J136" s="206"/>
      <c r="K136" s="206"/>
      <c r="L136" s="206"/>
      <c r="M136" s="206"/>
      <c r="N136" s="206"/>
      <c r="O136" s="206"/>
    </row>
    <row r="137" spans="1:15" ht="18" customHeight="1">
      <c r="A137" s="188"/>
      <c r="B137" s="35" t="s">
        <v>257</v>
      </c>
      <c r="C137" s="30">
        <v>40.518291473388672</v>
      </c>
      <c r="D137" s="30">
        <v>68.835676617310469</v>
      </c>
      <c r="E137" s="30">
        <v>135.38301086425781</v>
      </c>
      <c r="F137" s="70">
        <v>78.489051818847656</v>
      </c>
      <c r="G137" s="206"/>
      <c r="H137" s="206"/>
      <c r="I137" s="206"/>
      <c r="J137" s="206"/>
      <c r="K137" s="206"/>
      <c r="L137" s="206"/>
      <c r="M137" s="206"/>
      <c r="N137" s="206"/>
      <c r="O137" s="206"/>
    </row>
    <row r="138" spans="1:15" ht="18" customHeight="1">
      <c r="A138" s="188"/>
      <c r="B138" s="35" t="s">
        <v>258</v>
      </c>
      <c r="C138" s="30">
        <f ca="1">21.3996307564913*OFFSET($L$112,MATCH($N$1,$C$112:$C$113,0)-1,0)</f>
        <v>21.399630756491302</v>
      </c>
      <c r="D138" s="30">
        <f ca="1">36.2489252929726*OFFSET($L$112,MATCH($N$1,$C$112:$C$113,0)-1,0)</f>
        <v>36.248925292972601</v>
      </c>
      <c r="E138" s="30">
        <f ca="1">71.4125874033409*OFFSET($L$112,MATCH($N$1,$C$112:$C$113,0)-1,0)</f>
        <v>71.412587403340893</v>
      </c>
      <c r="F138" s="70">
        <f ca="1">41.3742363490451*OFFSET($L$112,MATCH($N$1,$C$112:$C$113,0)-1,0)</f>
        <v>41.374236349045098</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78.1971515690913*OFFSET($L$112,MATCH($N$1,$C$112:$C$113,0)-1,0)</f>
        <v>78.197151569091304</v>
      </c>
      <c r="D139" s="30">
        <f ca="1">190.2465320943*OFFSET($L$112,MATCH($N$1,$C$112:$C$113,0)-1,0)</f>
        <v>190.24653209429999</v>
      </c>
      <c r="E139" s="30">
        <f ca="1">595.256187956319*OFFSET($L$112,MATCH($N$1,$C$112:$C$113,0)-1,0)</f>
        <v>595.25618795631897</v>
      </c>
      <c r="F139" s="70">
        <f ca="1">215.795419783439*OFFSET($L$112,MATCH($N$1,$C$112:$C$113,0)-1,0)</f>
        <v>215.795419783439</v>
      </c>
      <c r="G139" s="206"/>
      <c r="H139" s="206"/>
      <c r="I139" s="46"/>
      <c r="J139" s="206"/>
      <c r="K139" s="71" t="s">
        <v>260</v>
      </c>
      <c r="L139" s="72">
        <f t="shared" ref="L139:M141" ca="1" si="2">C140</f>
        <v>81.1028203125</v>
      </c>
      <c r="M139" s="72">
        <f t="shared" ca="1" si="2"/>
        <v>49.304007812499997</v>
      </c>
      <c r="N139" s="72">
        <f ca="1">E140</f>
        <v>25.680003906250001</v>
      </c>
      <c r="O139" s="72"/>
    </row>
    <row r="140" spans="1:15" ht="18" customHeight="1">
      <c r="A140" s="166" t="s">
        <v>261</v>
      </c>
      <c r="B140" s="33" t="s">
        <v>262</v>
      </c>
      <c r="C140" s="73">
        <f ca="1">81.1028203125*OFFSET($L$112,MATCH($N$1,$C$112:$C$113,0)-1,0)</f>
        <v>81.1028203125</v>
      </c>
      <c r="D140" s="73">
        <f ca="1">49.3040078125*OFFSET($L$112,MATCH($N$1,$C$112:$C$113,0)-1,0)</f>
        <v>49.304007812499997</v>
      </c>
      <c r="E140" s="73">
        <f ca="1">25.68000390625*OFFSET($L$112,MATCH($N$1,$C$112:$C$113,0)-1,0)</f>
        <v>25.680003906250001</v>
      </c>
      <c r="F140" s="74">
        <f ca="1">51.36835546875*OFFSET($L$112,MATCH($N$1,$C$112:$C$113,0)-1,0)</f>
        <v>51.368355468750003</v>
      </c>
      <c r="G140" s="206"/>
      <c r="H140" s="206"/>
      <c r="I140" s="46"/>
      <c r="J140" s="206"/>
      <c r="K140" s="71" t="s">
        <v>263</v>
      </c>
      <c r="L140" s="72">
        <f t="shared" ca="1" si="2"/>
        <v>54.24578125</v>
      </c>
      <c r="M140" s="72">
        <f t="shared" ca="1" si="2"/>
        <v>34.765941406250001</v>
      </c>
      <c r="N140" s="72">
        <f ca="1">E141</f>
        <v>20.941029296875001</v>
      </c>
      <c r="O140" s="72"/>
    </row>
    <row r="141" spans="1:15" ht="18" customHeight="1">
      <c r="A141" s="167"/>
      <c r="B141" s="35" t="s">
        <v>264</v>
      </c>
      <c r="C141" s="30">
        <f ca="1">54.24578125*OFFSET($L$112,MATCH($N$1,$C$112:$C$113,0)-1,0)</f>
        <v>54.24578125</v>
      </c>
      <c r="D141" s="30">
        <f ca="1">34.76594140625*OFFSET($L$112,MATCH($N$1,$C$112:$C$113,0)-1,0)</f>
        <v>34.765941406250001</v>
      </c>
      <c r="E141" s="30">
        <f ca="1">20.941029296875*OFFSET($L$112,MATCH($N$1,$C$112:$C$113,0)-1,0)</f>
        <v>20.941029296875001</v>
      </c>
      <c r="F141" s="70">
        <f ca="1">36.193953125*OFFSET($L$112,MATCH($N$1,$C$112:$C$113,0)-1,0)</f>
        <v>36.193953125</v>
      </c>
      <c r="G141" s="206"/>
      <c r="H141" s="206"/>
      <c r="I141" s="46"/>
      <c r="J141" s="206"/>
      <c r="K141" s="71" t="s">
        <v>265</v>
      </c>
      <c r="L141" s="72">
        <f t="shared" ca="1" si="2"/>
        <v>26.8570390625</v>
      </c>
      <c r="M141" s="72">
        <f t="shared" ca="1" si="2"/>
        <v>14.53806640625</v>
      </c>
      <c r="N141" s="72">
        <f ca="1">E142</f>
        <v>4.738974609375</v>
      </c>
      <c r="O141" s="72"/>
    </row>
    <row r="142" spans="1:15" ht="18" customHeight="1">
      <c r="A142" s="168"/>
      <c r="B142" s="37" t="s">
        <v>266</v>
      </c>
      <c r="C142" s="38">
        <f ca="1">26.8570390625*OFFSET($L$112,MATCH($N$1,$C$112:$C$113,0)-1,0)</f>
        <v>26.8570390625</v>
      </c>
      <c r="D142" s="38">
        <f ca="1">14.53806640625*OFFSET($L$112,MATCH($N$1,$C$112:$C$113,0)-1,0)</f>
        <v>14.53806640625</v>
      </c>
      <c r="E142" s="38">
        <f ca="1">4.738974609375*OFFSET($L$112,MATCH($N$1,$C$112:$C$113,0)-1,0)</f>
        <v>4.738974609375</v>
      </c>
      <c r="F142" s="63">
        <f ca="1">15.1743994140625*OFFSET($L$112,MATCH($N$1,$C$112:$C$113,0)-1,0)</f>
        <v>15.174399414062499</v>
      </c>
      <c r="G142" s="206"/>
      <c r="H142" s="206"/>
      <c r="I142" s="46"/>
      <c r="J142" s="206"/>
      <c r="K142" s="71" t="s">
        <v>267</v>
      </c>
      <c r="L142" s="75">
        <f ca="1">IFERROR(L140/L$139,"")</f>
        <v>0.66885197137391472</v>
      </c>
      <c r="M142" s="75">
        <f t="shared" ref="M142:N143" ca="1" si="3">IFERROR(M140/M$139,"")</f>
        <v>0.70513418581431886</v>
      </c>
      <c r="N142" s="75">
        <f t="shared" ca="1" si="3"/>
        <v>0.81546051835990463</v>
      </c>
      <c r="O142" s="75"/>
    </row>
    <row r="143" spans="1:15" ht="18" customHeight="1">
      <c r="A143" s="206"/>
      <c r="B143" s="206"/>
      <c r="C143" s="206"/>
      <c r="D143" s="206"/>
      <c r="E143" s="206"/>
      <c r="F143" s="206"/>
      <c r="G143" s="206"/>
      <c r="H143" s="206"/>
      <c r="I143" s="46"/>
      <c r="J143" s="206"/>
      <c r="K143" s="71" t="s">
        <v>268</v>
      </c>
      <c r="L143" s="75">
        <f ca="1">IFERROR(L141/L$139,"")</f>
        <v>0.33114802862608528</v>
      </c>
      <c r="M143" s="75">
        <f t="shared" ca="1" si="3"/>
        <v>0.29486581418568125</v>
      </c>
      <c r="N143" s="75">
        <f t="shared" ca="1" si="3"/>
        <v>0.1845394816400954</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8</v>
      </c>
      <c r="B161" s="51"/>
      <c r="C161" s="76" t="s">
        <v>249</v>
      </c>
      <c r="D161" s="76" t="s">
        <v>270</v>
      </c>
      <c r="E161" s="76" t="s">
        <v>251</v>
      </c>
      <c r="F161" s="76" t="s">
        <v>271</v>
      </c>
      <c r="G161" s="77">
        <v>8</v>
      </c>
      <c r="H161" s="76"/>
      <c r="I161" s="76" t="s">
        <v>249</v>
      </c>
      <c r="J161" s="76" t="s">
        <v>270</v>
      </c>
      <c r="K161" s="76" t="s">
        <v>251</v>
      </c>
      <c r="L161" s="51" t="s">
        <v>271</v>
      </c>
      <c r="R161" s="206"/>
      <c r="S161" s="206"/>
    </row>
    <row r="162" spans="1:19" s="46" customFormat="1">
      <c r="A162" s="47">
        <v>1</v>
      </c>
      <c r="B162" s="51" t="s">
        <v>124</v>
      </c>
      <c r="C162" s="51">
        <v>0.34696001638731871</v>
      </c>
      <c r="D162" s="51">
        <v>0.43347441099368522</v>
      </c>
      <c r="E162" s="51">
        <v>0.39925920067349724</v>
      </c>
      <c r="F162" s="47">
        <v>1692097</v>
      </c>
      <c r="G162" s="47">
        <v>1</v>
      </c>
      <c r="H162" s="51" t="s">
        <v>172</v>
      </c>
      <c r="I162" s="51">
        <v>4.5218962820184193E-2</v>
      </c>
      <c r="J162" s="51">
        <v>0.27722481308935487</v>
      </c>
      <c r="K162" s="51">
        <v>0.12071195205418699</v>
      </c>
      <c r="L162" s="47">
        <v>3050596</v>
      </c>
      <c r="R162" s="206"/>
      <c r="S162" s="206"/>
    </row>
    <row r="163" spans="1:19" s="46" customFormat="1">
      <c r="A163" s="47">
        <v>2</v>
      </c>
      <c r="B163" s="51" t="s">
        <v>172</v>
      </c>
      <c r="C163" s="51">
        <v>6.2270142993805032E-2</v>
      </c>
      <c r="D163" s="51">
        <v>0.28147374057659047</v>
      </c>
      <c r="E163" s="51">
        <v>0.12459059279993524</v>
      </c>
      <c r="F163" s="47">
        <v>3050596</v>
      </c>
      <c r="G163" s="47">
        <v>2</v>
      </c>
      <c r="H163" s="51" t="s">
        <v>361</v>
      </c>
      <c r="I163" s="51">
        <v>0.13922901359656073</v>
      </c>
      <c r="J163" s="51">
        <v>0.22492721382278025</v>
      </c>
      <c r="K163" s="51">
        <v>0.40614324099260363</v>
      </c>
      <c r="L163" s="47">
        <v>553960</v>
      </c>
      <c r="N163" s="46" t="s">
        <v>272</v>
      </c>
      <c r="R163" s="206"/>
      <c r="S163" s="206"/>
    </row>
    <row r="164" spans="1:19" s="46" customFormat="1">
      <c r="A164" s="47">
        <v>3</v>
      </c>
      <c r="B164" s="51" t="s">
        <v>173</v>
      </c>
      <c r="C164" s="51">
        <v>0.39027517180973204</v>
      </c>
      <c r="D164" s="51">
        <v>0.10041369798483246</v>
      </c>
      <c r="E164" s="51">
        <v>0</v>
      </c>
      <c r="F164" s="47">
        <v>12153634</v>
      </c>
      <c r="G164" s="47">
        <v>3</v>
      </c>
      <c r="H164" s="51" t="s">
        <v>173</v>
      </c>
      <c r="I164" s="51">
        <v>0.6432573327405523</v>
      </c>
      <c r="J164" s="51">
        <v>0.2160156926104857</v>
      </c>
      <c r="K164" s="51">
        <v>0</v>
      </c>
      <c r="L164" s="47">
        <v>12153634</v>
      </c>
      <c r="N164" s="46" t="s">
        <v>273</v>
      </c>
      <c r="R164" s="206"/>
      <c r="S164" s="206"/>
    </row>
    <row r="165" spans="1:19" s="46" customFormat="1">
      <c r="A165" s="47">
        <v>4</v>
      </c>
      <c r="B165" s="51" t="s">
        <v>361</v>
      </c>
      <c r="C165" s="51">
        <v>6.8283595172030725E-2</v>
      </c>
      <c r="D165" s="51">
        <v>7.1136634374552241E-2</v>
      </c>
      <c r="E165" s="51">
        <v>0.12501935387506902</v>
      </c>
      <c r="F165" s="47">
        <v>553960</v>
      </c>
      <c r="G165" s="47">
        <v>4</v>
      </c>
      <c r="H165" s="51" t="s">
        <v>124</v>
      </c>
      <c r="I165" s="51">
        <v>9.2337710566676695E-2</v>
      </c>
      <c r="J165" s="51">
        <v>0.16918632781452778</v>
      </c>
      <c r="K165" s="51">
        <v>0.16192798166278816</v>
      </c>
      <c r="L165" s="47">
        <v>1692097</v>
      </c>
      <c r="R165" s="206"/>
      <c r="S165" s="206"/>
    </row>
    <row r="166" spans="1:19" s="46" customFormat="1">
      <c r="A166" s="47">
        <v>5</v>
      </c>
      <c r="B166" s="51" t="s">
        <v>242</v>
      </c>
      <c r="C166" s="51">
        <v>0</v>
      </c>
      <c r="D166" s="51">
        <v>5.8151458349965338E-2</v>
      </c>
      <c r="E166" s="51">
        <v>0.10527084050837472</v>
      </c>
      <c r="F166" s="47">
        <v>3689192</v>
      </c>
      <c r="G166" s="47">
        <v>5</v>
      </c>
      <c r="H166" s="51" t="s">
        <v>242</v>
      </c>
      <c r="I166" s="51">
        <v>0</v>
      </c>
      <c r="J166" s="51">
        <v>5.5137133097748439E-2</v>
      </c>
      <c r="K166" s="51">
        <v>0.10258152694490408</v>
      </c>
      <c r="L166" s="47">
        <v>3689192</v>
      </c>
      <c r="R166" s="206"/>
      <c r="S166" s="206"/>
    </row>
    <row r="167" spans="1:19" s="46" customFormat="1">
      <c r="A167" s="47">
        <v>6</v>
      </c>
      <c r="B167" s="51" t="s">
        <v>241</v>
      </c>
      <c r="C167" s="51">
        <v>6.7937117701831543E-2</v>
      </c>
      <c r="D167" s="51">
        <v>0</v>
      </c>
      <c r="E167" s="51">
        <v>0.12368597548556183</v>
      </c>
      <c r="F167" s="47">
        <v>11115023</v>
      </c>
      <c r="G167" s="47">
        <v>6</v>
      </c>
      <c r="H167" s="51" t="s">
        <v>241</v>
      </c>
      <c r="I167" s="51">
        <v>3.3432713540110043E-2</v>
      </c>
      <c r="J167" s="51">
        <v>0</v>
      </c>
      <c r="K167" s="51">
        <v>9.3614321422494345E-2</v>
      </c>
      <c r="L167" s="47">
        <v>11115023</v>
      </c>
      <c r="R167" s="206"/>
      <c r="S167" s="206"/>
    </row>
    <row r="168" spans="1:19" s="46" customFormat="1">
      <c r="A168" s="47">
        <v>7</v>
      </c>
      <c r="B168" s="51" t="s">
        <v>245</v>
      </c>
      <c r="C168" s="51">
        <v>6.4273955935281957E-2</v>
      </c>
      <c r="D168" s="51">
        <v>5.5350057720374268E-2</v>
      </c>
      <c r="E168" s="51">
        <v>0.12217403665756199</v>
      </c>
      <c r="F168" s="47">
        <v>5920853</v>
      </c>
      <c r="G168" s="47">
        <v>7</v>
      </c>
      <c r="H168" s="51" t="s">
        <v>245</v>
      </c>
      <c r="I168" s="51">
        <v>4.6524266735916031E-2</v>
      </c>
      <c r="J168" s="51">
        <v>5.7508819565102898E-2</v>
      </c>
      <c r="K168" s="51">
        <v>0.11502097692302282</v>
      </c>
      <c r="L168" s="47">
        <v>5920853</v>
      </c>
      <c r="R168" s="206"/>
      <c r="S168" s="206"/>
    </row>
    <row r="169" spans="1:19" s="46" customFormat="1">
      <c r="A169" s="47">
        <v>8</v>
      </c>
      <c r="B169" s="51"/>
      <c r="C169" s="51">
        <v>0</v>
      </c>
      <c r="D169" s="51">
        <v>0</v>
      </c>
      <c r="E169" s="51">
        <v>0</v>
      </c>
      <c r="F169" s="47"/>
      <c r="G169" s="47">
        <v>8</v>
      </c>
      <c r="H169" s="51"/>
      <c r="I169" s="51">
        <v>0</v>
      </c>
      <c r="J169" s="51">
        <v>0</v>
      </c>
      <c r="K169" s="51">
        <v>0</v>
      </c>
      <c r="L169" s="47"/>
      <c r="R169" s="206"/>
      <c r="S169" s="206"/>
    </row>
    <row r="170" spans="1:19" s="46" customFormat="1">
      <c r="A170" s="47">
        <v>9</v>
      </c>
      <c r="B170" s="51"/>
      <c r="C170" s="51">
        <v>0</v>
      </c>
      <c r="D170" s="51">
        <v>0</v>
      </c>
      <c r="E170" s="51">
        <v>0</v>
      </c>
      <c r="F170" s="47"/>
      <c r="G170" s="47">
        <v>9</v>
      </c>
      <c r="H170" s="51"/>
      <c r="I170" s="51">
        <v>0</v>
      </c>
      <c r="J170" s="51">
        <v>0</v>
      </c>
      <c r="K170" s="51">
        <v>0</v>
      </c>
      <c r="L170" s="47"/>
      <c r="R170" s="206"/>
      <c r="S170" s="206"/>
    </row>
    <row r="171" spans="1:19" s="46" customFormat="1">
      <c r="A171" s="47">
        <v>10</v>
      </c>
      <c r="B171" s="51"/>
      <c r="C171" s="51">
        <v>0</v>
      </c>
      <c r="D171" s="51">
        <v>0</v>
      </c>
      <c r="E171" s="51">
        <v>0</v>
      </c>
      <c r="F171" s="47"/>
      <c r="G171" s="47">
        <v>10</v>
      </c>
      <c r="H171" s="51"/>
      <c r="I171" s="51">
        <v>0</v>
      </c>
      <c r="J171" s="51">
        <v>0</v>
      </c>
      <c r="K171" s="51">
        <v>0</v>
      </c>
      <c r="L171" s="47"/>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822F7A76-CD76-44C8-9147-31BB3B9A913F}">
      <formula1>$C$112:$C$113</formula1>
    </dataValidation>
  </dataValidations>
  <hyperlinks>
    <hyperlink ref="O1:P1" location="Home_page" display="Back to home page" xr:uid="{FAF726AF-4C72-4940-AEB9-FE124A6F6E69}"/>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A5E86E62-E734-417A-9BB0-3BD63CA8A80F}">
          <x14:colorSeries rgb="FF323232"/>
          <x14:colorNegative rgb="FFD00000"/>
          <x14:colorAxis rgb="FF000000"/>
          <x14:colorMarkers rgb="FFD00000"/>
          <x14:colorFirst rgb="FFD00000"/>
          <x14:colorLast rgb="FFD00000"/>
          <x14:colorHigh rgb="FFD00000"/>
          <x14:colorLow rgb="FFD00000"/>
          <x14:sparklines>
            <x14:sparkline>
              <xm:f>'U10m using hooks'!D3:N3</xm:f>
              <xm:sqref>C3</xm:sqref>
            </x14:sparkline>
            <x14:sparkline>
              <xm:f>'U10m using hooks'!D4:N4</xm:f>
              <xm:sqref>C4</xm:sqref>
            </x14:sparkline>
            <x14:sparkline>
              <xm:f>'U10m using hooks'!D5:N5</xm:f>
              <xm:sqref>C5</xm:sqref>
            </x14:sparkline>
            <x14:sparkline>
              <xm:f>'U10m using hooks'!D6:N6</xm:f>
              <xm:sqref>C6</xm:sqref>
            </x14:sparkline>
            <x14:sparkline>
              <xm:f>'U10m using hooks'!D7:N7</xm:f>
              <xm:sqref>C7</xm:sqref>
            </x14:sparkline>
            <x14:sparkline>
              <xm:f>'U10m using hooks'!D8:N8</xm:f>
              <xm:sqref>C8</xm:sqref>
            </x14:sparkline>
            <x14:sparkline>
              <xm:f>'U10m using hooks'!D9:N9</xm:f>
              <xm:sqref>C9</xm:sqref>
            </x14:sparkline>
            <x14:sparkline>
              <xm:f>'U10m using hooks'!D10:N10</xm:f>
              <xm:sqref>C10</xm:sqref>
            </x14:sparkline>
            <x14:sparkline>
              <xm:f>'U10m using hooks'!D11:N11</xm:f>
              <xm:sqref>C11</xm:sqref>
            </x14:sparkline>
            <x14:sparkline>
              <xm:f>'U10m using hooks'!D12:N12</xm:f>
              <xm:sqref>C12</xm:sqref>
            </x14:sparkline>
            <x14:sparkline>
              <xm:f>'U10m using hooks'!D13:N13</xm:f>
              <xm:sqref>C13</xm:sqref>
            </x14:sparkline>
            <x14:sparkline>
              <xm:f>'U10m using hooks'!D14:N14</xm:f>
              <xm:sqref>C14</xm:sqref>
            </x14:sparkline>
            <x14:sparkline>
              <xm:f>'U10m using hooks'!D15:N15</xm:f>
              <xm:sqref>C15</xm:sqref>
            </x14:sparkline>
            <x14:sparkline>
              <xm:f>'U10m using hooks'!D16:N16</xm:f>
              <xm:sqref>C16</xm:sqref>
            </x14:sparkline>
            <x14:sparkline>
              <xm:f>'U10m using hooks'!D17:N17</xm:f>
              <xm:sqref>C17</xm:sqref>
            </x14:sparkline>
            <x14:sparkline>
              <xm:f>'U10m using hooks'!D18:N18</xm:f>
              <xm:sqref>C18</xm:sqref>
            </x14:sparkline>
            <x14:sparkline>
              <xm:f>'U10m using hooks'!D19:N19</xm:f>
              <xm:sqref>C19</xm:sqref>
            </x14:sparkline>
            <x14:sparkline>
              <xm:f>'U10m using hooks'!D20:N20</xm:f>
              <xm:sqref>C20</xm:sqref>
            </x14:sparkline>
            <x14:sparkline>
              <xm:f>'U10m using hooks'!D21:N21</xm:f>
              <xm:sqref>C21</xm:sqref>
            </x14:sparkline>
            <x14:sparkline>
              <xm:f>'U10m using hooks'!D22:N22</xm:f>
              <xm:sqref>C22</xm:sqref>
            </x14:sparkline>
            <x14:sparkline>
              <xm:f>'U10m using hooks'!D23:N23</xm:f>
              <xm:sqref>C23</xm:sqref>
            </x14:sparkline>
            <x14:sparkline>
              <xm:f>'U10m using hooks'!D24:N24</xm:f>
              <xm:sqref>C24</xm:sqref>
            </x14:sparkline>
            <x14:sparkline>
              <xm:f>'U10m using hooks'!D25:N25</xm:f>
              <xm:sqref>C25</xm:sqref>
            </x14:sparkline>
            <x14:sparkline>
              <xm:f>'U10m using hooks'!D26:N26</xm:f>
              <xm:sqref>C26</xm:sqref>
            </x14:sparkline>
            <x14:sparkline>
              <xm:f>'U10m using hooks'!D27:N27</xm:f>
              <xm:sqref>C27</xm:sqref>
            </x14:sparkline>
            <x14:sparkline>
              <xm:f>'U10m using hooks'!D28:N28</xm:f>
              <xm:sqref>C28</xm:sqref>
            </x14:sparkline>
            <x14:sparkline>
              <xm:f>'U10m using hooks'!D29:N29</xm:f>
              <xm:sqref>C29</xm:sqref>
            </x14:sparkline>
            <x14:sparkline>
              <xm:f>'U10m using hooks'!D30:N30</xm:f>
              <xm:sqref>C30</xm:sqref>
            </x14:sparkline>
            <x14:sparkline>
              <xm:f>'U10m using hooks'!D31:N31</xm:f>
              <xm:sqref>C31</xm:sqref>
            </x14:sparkline>
            <x14:sparkline>
              <xm:f>'U10m using hooks'!D32:N32</xm:f>
              <xm:sqref>C32</xm:sqref>
            </x14:sparkline>
            <x14:sparkline>
              <xm:f>'U10m using hooks'!D33:N33</xm:f>
              <xm:sqref>C33</xm:sqref>
            </x14:sparkline>
            <x14:sparkline>
              <xm:f>'U10m using hooks'!D34:N34</xm:f>
              <xm:sqref>C34</xm:sqref>
            </x14:sparkline>
            <x14:sparkline>
              <xm:f>'U10m using hooks'!D35:N35</xm:f>
              <xm:sqref>C35</xm:sqref>
            </x14:sparkline>
            <x14:sparkline>
              <xm:f>'U10m using hooks'!D36:N36</xm:f>
              <xm:sqref>C36</xm:sqref>
            </x14:sparkline>
            <x14:sparkline>
              <xm:f>'U10m using hooks'!D37:N37</xm:f>
              <xm:sqref>C37</xm:sqref>
            </x14:sparkline>
            <x14:sparkline>
              <xm:f>'U10m using hooks'!D38:N38</xm:f>
              <xm:sqref>C38</xm:sqref>
            </x14:sparkline>
            <x14:sparkline>
              <xm:f>'U10m using hooks'!D39:N39</xm:f>
              <xm:sqref>C39</xm:sqref>
            </x14:sparkline>
            <x14:sparkline>
              <xm:f>'U10m using hooks'!D40:N40</xm:f>
              <xm:sqref>C40</xm:sqref>
            </x14:sparkline>
            <x14:sparkline>
              <xm:f>'U10m using hooks'!D41:N41</xm:f>
              <xm:sqref>C41</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0C83E-E594-4590-B147-006B7F2A820B}">
  <sheetPr codeName="Feuil37">
    <pageSetUpPr fitToPage="1"/>
  </sheetPr>
  <dimension ref="A1:S192"/>
  <sheetViews>
    <sheetView zoomScale="70" zoomScaleNormal="70" zoomScalePageLayoutView="87" workbookViewId="0">
      <selection activeCell="O1" sqref="O1:P1"/>
    </sheetView>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39</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28</v>
      </c>
      <c r="E3" s="27">
        <v>29</v>
      </c>
      <c r="F3" s="27">
        <v>32</v>
      </c>
      <c r="G3" s="27">
        <v>37</v>
      </c>
      <c r="H3" s="27">
        <v>40</v>
      </c>
      <c r="I3" s="27">
        <v>41</v>
      </c>
      <c r="J3" s="27">
        <v>51</v>
      </c>
      <c r="K3" s="27">
        <v>43</v>
      </c>
      <c r="L3" s="27">
        <v>30</v>
      </c>
      <c r="M3" s="27">
        <v>25</v>
      </c>
      <c r="N3" s="27">
        <v>27</v>
      </c>
      <c r="O3" s="28">
        <f t="shared" ref="O3:O41" si="0">IF(N3=0,"",IFERROR(IF(AND(N3&gt;0,D3&lt;0),"na",IF(AND(N3&lt;0,D3&lt;0),-1,1)*(N3-D3)/D3),""))</f>
        <v>-3.5714285714285712E-2</v>
      </c>
      <c r="P3" s="28">
        <f t="shared" ref="P3:P41" si="1">IF(N3=0,"",IFERROR(IF(AND(N3&gt;0,J3&lt;0),"na",IF(AND(N3&lt;0,J3&lt;0),-1,1)*(N3-J3)/J3),""))</f>
        <v>-0.47058823529411764</v>
      </c>
      <c r="Q3" s="206"/>
    </row>
    <row r="4" spans="1:17" ht="18" customHeight="1">
      <c r="A4" s="172"/>
      <c r="B4" s="29" t="s">
        <v>184</v>
      </c>
      <c r="C4" s="30"/>
      <c r="D4" s="30">
        <v>8580</v>
      </c>
      <c r="E4" s="30">
        <v>8782</v>
      </c>
      <c r="F4" s="30">
        <v>10249</v>
      </c>
      <c r="G4" s="30">
        <v>11646</v>
      </c>
      <c r="H4" s="30">
        <v>12968</v>
      </c>
      <c r="I4" s="30">
        <v>13591</v>
      </c>
      <c r="J4" s="30">
        <v>17154</v>
      </c>
      <c r="K4" s="30">
        <v>14039</v>
      </c>
      <c r="L4" s="30">
        <v>9379</v>
      </c>
      <c r="M4" s="30">
        <v>7917</v>
      </c>
      <c r="N4" s="30">
        <v>8367</v>
      </c>
      <c r="O4" s="28">
        <f t="shared" si="0"/>
        <v>-2.4825174825174826E-2</v>
      </c>
      <c r="P4" s="28">
        <f t="shared" si="1"/>
        <v>-0.51224204267226303</v>
      </c>
      <c r="Q4" s="206"/>
    </row>
    <row r="5" spans="1:17" ht="18" customHeight="1">
      <c r="A5" s="172"/>
      <c r="B5" s="29" t="s">
        <v>185</v>
      </c>
      <c r="C5" s="30"/>
      <c r="D5" s="30">
        <v>2289</v>
      </c>
      <c r="E5" s="30">
        <v>2507</v>
      </c>
      <c r="F5" s="30">
        <v>3040</v>
      </c>
      <c r="G5" s="30">
        <v>3701</v>
      </c>
      <c r="H5" s="30">
        <v>4108</v>
      </c>
      <c r="I5" s="30">
        <v>4148</v>
      </c>
      <c r="J5" s="30">
        <v>5065</v>
      </c>
      <c r="K5" s="30">
        <v>4123</v>
      </c>
      <c r="L5" s="30">
        <v>2696</v>
      </c>
      <c r="M5" s="30">
        <v>2156</v>
      </c>
      <c r="N5" s="30">
        <v>2256</v>
      </c>
      <c r="O5" s="28">
        <f t="shared" si="0"/>
        <v>-1.4416775884665793E-2</v>
      </c>
      <c r="P5" s="28">
        <f t="shared" si="1"/>
        <v>-0.55459032576505429</v>
      </c>
      <c r="Q5" s="207"/>
    </row>
    <row r="6" spans="1:17" ht="18" customHeight="1">
      <c r="A6" s="172"/>
      <c r="B6" s="29" t="s">
        <v>186</v>
      </c>
      <c r="C6" s="30"/>
      <c r="D6" s="30">
        <v>6884.6015625</v>
      </c>
      <c r="E6" s="30">
        <v>7165.46923828125</v>
      </c>
      <c r="F6" s="30">
        <v>8270.3076171875</v>
      </c>
      <c r="G6" s="30">
        <v>9500.9033203125</v>
      </c>
      <c r="H6" s="30">
        <v>10515.3408203125</v>
      </c>
      <c r="I6" s="30">
        <v>10742.0625</v>
      </c>
      <c r="J6" s="30">
        <v>13476.986328125</v>
      </c>
      <c r="K6" s="30">
        <v>11099.00390625</v>
      </c>
      <c r="L6" s="30">
        <v>7440.76318359375</v>
      </c>
      <c r="M6" s="30">
        <v>6204.09228515625</v>
      </c>
      <c r="N6" s="30">
        <v>6593.6572265625</v>
      </c>
      <c r="O6" s="28">
        <f t="shared" si="0"/>
        <v>-4.2260155986695851E-2</v>
      </c>
      <c r="P6" s="28">
        <f t="shared" si="1"/>
        <v>-0.51074690839433023</v>
      </c>
      <c r="Q6" s="206"/>
    </row>
    <row r="7" spans="1:17" ht="18" customHeight="1">
      <c r="A7" s="172"/>
      <c r="B7" s="29" t="s">
        <v>187</v>
      </c>
      <c r="C7" s="30"/>
      <c r="D7" s="30">
        <v>3577.25341796875</v>
      </c>
      <c r="E7" s="30">
        <v>4173.0224609375</v>
      </c>
      <c r="F7" s="30">
        <v>5670.25732421875</v>
      </c>
      <c r="G7" s="30">
        <v>5625.6298828125</v>
      </c>
      <c r="H7" s="30">
        <v>6562.93017578125</v>
      </c>
      <c r="I7" s="30">
        <v>5542.46044921875</v>
      </c>
      <c r="J7" s="30">
        <v>8657.26953125</v>
      </c>
      <c r="K7" s="30">
        <v>6360.87548828125</v>
      </c>
      <c r="L7" s="30">
        <v>3020.4375</v>
      </c>
      <c r="M7" s="30">
        <v>3611.419189453125</v>
      </c>
      <c r="N7" s="30">
        <v>2669.5380859375</v>
      </c>
      <c r="O7" s="28">
        <f t="shared" si="0"/>
        <v>-0.25374644342269509</v>
      </c>
      <c r="P7" s="28">
        <f t="shared" si="1"/>
        <v>-0.69164202681904341</v>
      </c>
      <c r="Q7" s="206"/>
    </row>
    <row r="8" spans="1:17" ht="18" customHeight="1">
      <c r="A8" s="172"/>
      <c r="B8" s="29" t="s">
        <v>188</v>
      </c>
      <c r="C8" s="31"/>
      <c r="D8" s="31">
        <f ca="1">8.389872*OFFSET(D$112,MATCH($N$1,$C$112:$C$113,0)-1,0)</f>
        <v>8.3898720000000004</v>
      </c>
      <c r="E8" s="31">
        <f ca="1">11.259007*OFFSET(E$112,MATCH($N$1,$C$112:$C$113,0)-1,0)</f>
        <v>11.259007</v>
      </c>
      <c r="F8" s="31">
        <f ca="1">14.195606*OFFSET(F$112,MATCH($N$1,$C$112:$C$113,0)-1,0)</f>
        <v>14.195606</v>
      </c>
      <c r="G8" s="31">
        <f ca="1">14.281319*OFFSET(G$112,MATCH($N$1,$C$112:$C$113,0)-1,0)</f>
        <v>14.281319</v>
      </c>
      <c r="H8" s="31">
        <f ca="1">16.138109*OFFSET(H$112,MATCH($N$1,$C$112:$C$113,0)-1,0)</f>
        <v>16.138109</v>
      </c>
      <c r="I8" s="31">
        <f ca="1">14.651388*OFFSET(I$112,MATCH($N$1,$C$112:$C$113,0)-1,0)</f>
        <v>14.651388000000001</v>
      </c>
      <c r="J8" s="31">
        <f ca="1">20.803738*OFFSET(J$112,MATCH($N$1,$C$112:$C$113,0)-1,0)</f>
        <v>20.803737999999999</v>
      </c>
      <c r="K8" s="31">
        <f ca="1">15.727707*OFFSET(K$112,MATCH($N$1,$C$112:$C$113,0)-1,0)</f>
        <v>15.727707000000001</v>
      </c>
      <c r="L8" s="31">
        <f ca="1">9.516653*OFFSET(L$112,MATCH($N$1,$C$112:$C$113,0)-1,0)</f>
        <v>9.5166529999999998</v>
      </c>
      <c r="M8" s="31">
        <f ca="1">10.38203*OFFSET(M$112,MATCH($N$1,$C$112:$C$113,0)-1,0)</f>
        <v>10.38203</v>
      </c>
      <c r="N8" s="31">
        <v>5.2893024999999998</v>
      </c>
      <c r="O8" s="28">
        <f t="shared" ca="1" si="0"/>
        <v>-0.36956100164579392</v>
      </c>
      <c r="P8" s="28">
        <f t="shared" ca="1" si="1"/>
        <v>-0.74575230182191299</v>
      </c>
      <c r="Q8" s="206"/>
    </row>
    <row r="9" spans="1:17" ht="18" customHeight="1">
      <c r="A9" s="172"/>
      <c r="B9" s="29" t="s">
        <v>189</v>
      </c>
      <c r="C9" s="30"/>
      <c r="D9" s="30">
        <v>5182</v>
      </c>
      <c r="E9" s="30">
        <v>5142</v>
      </c>
      <c r="F9" s="30">
        <v>5818</v>
      </c>
      <c r="G9" s="30">
        <v>6906</v>
      </c>
      <c r="H9" s="30">
        <v>7637</v>
      </c>
      <c r="I9" s="30">
        <v>7159</v>
      </c>
      <c r="J9" s="30">
        <v>9431</v>
      </c>
      <c r="K9" s="30">
        <v>7661</v>
      </c>
      <c r="L9" s="30">
        <v>5256</v>
      </c>
      <c r="M9" s="30">
        <v>4438</v>
      </c>
      <c r="N9" s="30">
        <v>3823</v>
      </c>
      <c r="O9" s="28">
        <f t="shared" si="0"/>
        <v>-0.26225395600154383</v>
      </c>
      <c r="P9" s="28">
        <f t="shared" si="1"/>
        <v>-0.59463471530060441</v>
      </c>
      <c r="Q9" s="206"/>
    </row>
    <row r="10" spans="1:17" ht="18" customHeight="1">
      <c r="A10" s="172"/>
      <c r="B10" s="29" t="s">
        <v>190</v>
      </c>
      <c r="C10" s="30"/>
      <c r="D10" s="30">
        <v>185.16853332519531</v>
      </c>
      <c r="E10" s="30">
        <v>171.05770874023438</v>
      </c>
      <c r="F10" s="30">
        <v>192.33682250976563</v>
      </c>
      <c r="G10" s="30">
        <v>212.86032104492188</v>
      </c>
      <c r="H10" s="30">
        <v>299.04119873046875</v>
      </c>
      <c r="I10" s="30">
        <v>316.46505737304688</v>
      </c>
      <c r="J10" s="30">
        <v>315.20242309570313</v>
      </c>
      <c r="K10" s="30">
        <v>241.14645385742188</v>
      </c>
      <c r="L10" s="30">
        <v>181.03668212890625</v>
      </c>
      <c r="M10" s="30">
        <v>155.14430236816406</v>
      </c>
      <c r="N10" s="30">
        <v>127.22880554199219</v>
      </c>
      <c r="O10" s="32">
        <f t="shared" si="0"/>
        <v>-0.31290266625079677</v>
      </c>
      <c r="P10" s="32">
        <f t="shared" si="1"/>
        <v>-0.59635841535595546</v>
      </c>
      <c r="Q10" s="206"/>
    </row>
    <row r="11" spans="1:17" ht="18" customHeight="1">
      <c r="A11" s="173" t="s">
        <v>191</v>
      </c>
      <c r="B11" s="33" t="s">
        <v>192</v>
      </c>
      <c r="C11" s="34"/>
      <c r="D11" s="34">
        <v>18.004642486572266</v>
      </c>
      <c r="E11" s="34">
        <v>18.241378784179688</v>
      </c>
      <c r="F11" s="34">
        <v>18.539688110351563</v>
      </c>
      <c r="G11" s="34">
        <v>18.221622467041016</v>
      </c>
      <c r="H11" s="34">
        <v>18.362749099731445</v>
      </c>
      <c r="I11" s="34">
        <v>18.181951522827148</v>
      </c>
      <c r="J11" s="34">
        <v>18.203332901000977</v>
      </c>
      <c r="K11" s="34">
        <v>18.056047439575195</v>
      </c>
      <c r="L11" s="34">
        <v>17.590000152587891</v>
      </c>
      <c r="M11" s="34">
        <v>17.521999359130859</v>
      </c>
      <c r="N11" s="34">
        <v>17.590370178222656</v>
      </c>
      <c r="O11" s="28">
        <f t="shared" si="0"/>
        <v>-2.3009193804240807E-2</v>
      </c>
      <c r="P11" s="28">
        <f t="shared" si="1"/>
        <v>-3.3673104047040436E-2</v>
      </c>
      <c r="Q11" s="206"/>
    </row>
    <row r="12" spans="1:17" ht="18" customHeight="1">
      <c r="A12" s="174"/>
      <c r="B12" s="35" t="s">
        <v>184</v>
      </c>
      <c r="C12" s="30"/>
      <c r="D12" s="30">
        <v>306.42855834960938</v>
      </c>
      <c r="E12" s="30">
        <v>302.82757568359375</v>
      </c>
      <c r="F12" s="30">
        <v>320.28125</v>
      </c>
      <c r="G12" s="30">
        <v>314.75674438476563</v>
      </c>
      <c r="H12" s="30">
        <v>324.20001220703125</v>
      </c>
      <c r="I12" s="30">
        <v>331.48779296875</v>
      </c>
      <c r="J12" s="30">
        <v>336.35293579101563</v>
      </c>
      <c r="K12" s="30">
        <v>326.48837280273438</v>
      </c>
      <c r="L12" s="30">
        <v>312.63333129882813</v>
      </c>
      <c r="M12" s="30">
        <v>316.67999267578125</v>
      </c>
      <c r="N12" s="30">
        <v>309.88888549804688</v>
      </c>
      <c r="O12" s="28">
        <f t="shared" si="0"/>
        <v>1.1292443390637095E-2</v>
      </c>
      <c r="P12" s="28">
        <f t="shared" si="1"/>
        <v>-7.8679409266139172E-2</v>
      </c>
      <c r="Q12" s="206"/>
    </row>
    <row r="13" spans="1:17" ht="18" customHeight="1">
      <c r="A13" s="174"/>
      <c r="B13" s="35" t="s">
        <v>185</v>
      </c>
      <c r="C13" s="30"/>
      <c r="D13" s="30">
        <v>81.75</v>
      </c>
      <c r="E13" s="30">
        <v>86.448272705078125</v>
      </c>
      <c r="F13" s="30">
        <v>95</v>
      </c>
      <c r="G13" s="30">
        <v>100.02702331542969</v>
      </c>
      <c r="H13" s="30">
        <v>102.69999694824219</v>
      </c>
      <c r="I13" s="30">
        <v>101.17073059082031</v>
      </c>
      <c r="J13" s="30">
        <v>99.313728332519531</v>
      </c>
      <c r="K13" s="30">
        <v>95.883720397949219</v>
      </c>
      <c r="L13" s="30">
        <v>89.866668701171875</v>
      </c>
      <c r="M13" s="30">
        <v>86.239997863769531</v>
      </c>
      <c r="N13" s="30">
        <v>83.555557250976563</v>
      </c>
      <c r="O13" s="28">
        <f t="shared" si="0"/>
        <v>2.2086327229071102E-2</v>
      </c>
      <c r="P13" s="28">
        <f t="shared" si="1"/>
        <v>-0.15867062234117207</v>
      </c>
      <c r="Q13" s="206"/>
    </row>
    <row r="14" spans="1:17" ht="18" customHeight="1">
      <c r="A14" s="174"/>
      <c r="B14" s="35" t="s">
        <v>186</v>
      </c>
      <c r="C14" s="30"/>
      <c r="D14" s="30">
        <v>245.87863159179688</v>
      </c>
      <c r="E14" s="30">
        <v>247.08515930175781</v>
      </c>
      <c r="F14" s="30">
        <v>258.44711303710938</v>
      </c>
      <c r="G14" s="30">
        <v>256.78115844726563</v>
      </c>
      <c r="H14" s="30">
        <v>262.88351440429688</v>
      </c>
      <c r="I14" s="30">
        <v>262.00152587890625</v>
      </c>
      <c r="J14" s="30">
        <v>264.254638671875</v>
      </c>
      <c r="K14" s="30">
        <v>258.11639404296875</v>
      </c>
      <c r="L14" s="30">
        <v>248.02545166015625</v>
      </c>
      <c r="M14" s="30">
        <v>248.1636962890625</v>
      </c>
      <c r="N14" s="30">
        <v>244.20951843261719</v>
      </c>
      <c r="O14" s="28">
        <f t="shared" si="0"/>
        <v>-6.7883619994710161E-3</v>
      </c>
      <c r="P14" s="28">
        <f t="shared" si="1"/>
        <v>-7.5855320232042694E-2</v>
      </c>
      <c r="Q14" s="206"/>
    </row>
    <row r="15" spans="1:17" ht="18" customHeight="1">
      <c r="A15" s="174"/>
      <c r="B15" s="35" t="s">
        <v>187</v>
      </c>
      <c r="C15" s="31"/>
      <c r="D15" s="31">
        <v>127.75904846191406</v>
      </c>
      <c r="E15" s="31">
        <v>143.89732360839844</v>
      </c>
      <c r="F15" s="31">
        <v>177.19554138183594</v>
      </c>
      <c r="G15" s="31">
        <v>152.04405212402344</v>
      </c>
      <c r="H15" s="31">
        <v>164.07325744628906</v>
      </c>
      <c r="I15" s="31">
        <v>135.18196105957031</v>
      </c>
      <c r="J15" s="31">
        <v>169.75038146972656</v>
      </c>
      <c r="K15" s="31">
        <v>147.92733764648438</v>
      </c>
      <c r="L15" s="31">
        <v>100.68124389648438</v>
      </c>
      <c r="M15" s="31">
        <v>144.45675659179688</v>
      </c>
      <c r="N15" s="31">
        <v>98.871788024902344</v>
      </c>
      <c r="O15" s="28">
        <f t="shared" si="0"/>
        <v>-0.22610735431098039</v>
      </c>
      <c r="P15" s="28">
        <f t="shared" si="1"/>
        <v>-0.41754600390965702</v>
      </c>
      <c r="Q15" s="206"/>
    </row>
    <row r="16" spans="1:17" ht="18" customHeight="1">
      <c r="A16" s="174"/>
      <c r="B16" s="35" t="s">
        <v>193</v>
      </c>
      <c r="C16" s="31"/>
      <c r="D16" s="31">
        <f ca="1">299.63828125*OFFSET(D$112,MATCH($N$1,$C$112:$C$113,0)-1,0)</f>
        <v>299.63828124999998</v>
      </c>
      <c r="E16" s="31">
        <f ca="1">388.241625*OFFSET(E$112,MATCH($N$1,$C$112:$C$113,0)-1,0)</f>
        <v>388.241625</v>
      </c>
      <c r="F16" s="31">
        <f ca="1">443.6126875*OFFSET(F$112,MATCH($N$1,$C$112:$C$113,0)-1,0)</f>
        <v>443.61268749999999</v>
      </c>
      <c r="G16" s="31">
        <f ca="1">385.98159375*OFFSET(G$112,MATCH($N$1,$C$112:$C$113,0)-1,0)</f>
        <v>385.98159375</v>
      </c>
      <c r="H16" s="31">
        <f ca="1">403.45271875*OFFSET(H$112,MATCH($N$1,$C$112:$C$113,0)-1,0)</f>
        <v>403.45271874999997</v>
      </c>
      <c r="I16" s="31">
        <f ca="1">357.3509375*OFFSET(I$112,MATCH($N$1,$C$112:$C$113,0)-1,0)</f>
        <v>357.35093749999999</v>
      </c>
      <c r="J16" s="31">
        <f ca="1">407.9164375*OFFSET(J$112,MATCH($N$1,$C$112:$C$113,0)-1,0)</f>
        <v>407.91643749999997</v>
      </c>
      <c r="K16" s="31">
        <f ca="1">365.760625*OFFSET(K$112,MATCH($N$1,$C$112:$C$113,0)-1,0)</f>
        <v>365.760625</v>
      </c>
      <c r="L16" s="31">
        <f ca="1">317.22175*OFFSET(L$112,MATCH($N$1,$C$112:$C$113,0)-1,0)</f>
        <v>317.22174999999999</v>
      </c>
      <c r="M16" s="31">
        <f ca="1">415.28121875*OFFSET(M$112,MATCH($N$1,$C$112:$C$113,0)-1,0)</f>
        <v>415.28121874999999</v>
      </c>
      <c r="N16" s="31">
        <v>195.90009375</v>
      </c>
      <c r="O16" s="28">
        <f t="shared" ca="1" si="0"/>
        <v>-0.34621139551073293</v>
      </c>
      <c r="P16" s="28">
        <f t="shared" ca="1" si="1"/>
        <v>-0.51975435226240418</v>
      </c>
      <c r="Q16" s="206"/>
    </row>
    <row r="17" spans="1:16" ht="18" customHeight="1">
      <c r="A17" s="174"/>
      <c r="B17" s="35" t="s">
        <v>189</v>
      </c>
      <c r="C17" s="30"/>
      <c r="D17" s="30">
        <v>185.07142639160156</v>
      </c>
      <c r="E17" s="30">
        <v>177.31034851074219</v>
      </c>
      <c r="F17" s="30">
        <v>181.8125</v>
      </c>
      <c r="G17" s="30">
        <v>186.64865112304688</v>
      </c>
      <c r="H17" s="30">
        <v>190.92500305175781</v>
      </c>
      <c r="I17" s="30">
        <v>174.60975646972656</v>
      </c>
      <c r="J17" s="30">
        <v>184.92156982421875</v>
      </c>
      <c r="K17" s="30">
        <v>178.16279602050781</v>
      </c>
      <c r="L17" s="30">
        <v>175.19999694824219</v>
      </c>
      <c r="M17" s="30">
        <v>177.52000427246094</v>
      </c>
      <c r="N17" s="30">
        <v>141.59259033203125</v>
      </c>
      <c r="O17" s="28">
        <f t="shared" si="0"/>
        <v>-0.23493003164935544</v>
      </c>
      <c r="P17" s="28">
        <f t="shared" si="1"/>
        <v>-0.2343100349698243</v>
      </c>
    </row>
    <row r="18" spans="1:16" ht="18" customHeight="1">
      <c r="A18" s="174"/>
      <c r="B18" s="35" t="s">
        <v>194</v>
      </c>
      <c r="C18" s="30"/>
      <c r="D18" s="30">
        <v>32.428569793701172</v>
      </c>
      <c r="E18" s="30">
        <v>33</v>
      </c>
      <c r="F18" s="30">
        <v>33.21875</v>
      </c>
      <c r="G18" s="30">
        <v>31.45945930480957</v>
      </c>
      <c r="H18" s="30">
        <v>31.100000381469727</v>
      </c>
      <c r="I18" s="30">
        <v>32.365852355957031</v>
      </c>
      <c r="J18" s="30">
        <v>32.215686798095703</v>
      </c>
      <c r="K18" s="30">
        <v>35.162792205810547</v>
      </c>
      <c r="L18" s="30">
        <v>36.366664886474609</v>
      </c>
      <c r="M18" s="30">
        <v>114.31999969482422</v>
      </c>
      <c r="N18" s="30">
        <v>110.48148345947266</v>
      </c>
      <c r="O18" s="28">
        <f t="shared" si="0"/>
        <v>2.4069181639004089</v>
      </c>
      <c r="P18" s="28">
        <f t="shared" si="1"/>
        <v>2.4294312628468724</v>
      </c>
    </row>
    <row r="19" spans="1:16" ht="18" customHeight="1">
      <c r="A19" s="174"/>
      <c r="B19" s="35" t="s">
        <v>195</v>
      </c>
      <c r="C19" s="36"/>
      <c r="D19" s="36">
        <v>0.69032293558120728</v>
      </c>
      <c r="E19" s="36">
        <v>0.81155627965927124</v>
      </c>
      <c r="F19" s="36">
        <v>0.97460591793060303</v>
      </c>
      <c r="G19" s="36">
        <v>0.81460034847259521</v>
      </c>
      <c r="H19" s="36">
        <v>0.8593597412109375</v>
      </c>
      <c r="I19" s="36">
        <v>0.77419477701187134</v>
      </c>
      <c r="J19" s="36">
        <v>0.91795879602432251</v>
      </c>
      <c r="K19" s="36">
        <v>0.83029305934906006</v>
      </c>
      <c r="L19" s="36">
        <v>0.5746646523475647</v>
      </c>
      <c r="M19" s="36">
        <v>0.81374919414520264</v>
      </c>
      <c r="N19" s="36">
        <v>0.6982836127281189</v>
      </c>
      <c r="O19" s="28">
        <f t="shared" si="0"/>
        <v>1.153181610605078E-2</v>
      </c>
      <c r="P19" s="28">
        <f t="shared" si="1"/>
        <v>-0.23930832652578343</v>
      </c>
    </row>
    <row r="20" spans="1:16" ht="18" customHeight="1">
      <c r="A20" s="175"/>
      <c r="B20" s="37" t="s">
        <v>196</v>
      </c>
      <c r="C20" s="38"/>
      <c r="D20" s="38">
        <f ca="1">2345*OFFSET(D$112,MATCH($N$1,$C$112:$C$113,0)-1,0)</f>
        <v>2345</v>
      </c>
      <c r="E20" s="38">
        <f ca="1">2698*OFFSET(E$112,MATCH($N$1,$C$112:$C$113,0)-1,0)</f>
        <v>2698</v>
      </c>
      <c r="F20" s="38">
        <f ca="1">2504*OFFSET(F$112,MATCH($N$1,$C$112:$C$113,0)-1,0)</f>
        <v>2504</v>
      </c>
      <c r="G20" s="38">
        <f ca="1">2539*OFFSET(G$112,MATCH($N$1,$C$112:$C$113,0)-1,0)</f>
        <v>2539</v>
      </c>
      <c r="H20" s="38">
        <f ca="1">2459*OFFSET(H$112,MATCH($N$1,$C$112:$C$113,0)-1,0)</f>
        <v>2459</v>
      </c>
      <c r="I20" s="38">
        <f ca="1">2643*OFFSET(I$112,MATCH($N$1,$C$112:$C$113,0)-1,0)</f>
        <v>2643</v>
      </c>
      <c r="J20" s="38">
        <f ca="1">2403*OFFSET(J$112,MATCH($N$1,$C$112:$C$113,0)-1,0)</f>
        <v>2403</v>
      </c>
      <c r="K20" s="38">
        <f ca="1">2473*OFFSET(K$112,MATCH($N$1,$C$112:$C$113,0)-1,0)</f>
        <v>2473</v>
      </c>
      <c r="L20" s="38">
        <f ca="1">3151*OFFSET(L$112,MATCH($N$1,$C$112:$C$113,0)-1,0)</f>
        <v>3151</v>
      </c>
      <c r="M20" s="38">
        <f ca="1">2875*OFFSET(M$112,MATCH($N$1,$C$112:$C$113,0)-1,0)</f>
        <v>2875</v>
      </c>
      <c r="N20" s="38">
        <v>1981</v>
      </c>
      <c r="O20" s="32">
        <f t="shared" ca="1" si="0"/>
        <v>-0.15522388059701492</v>
      </c>
      <c r="P20" s="32">
        <f t="shared" ca="1" si="1"/>
        <v>-0.17561381606325427</v>
      </c>
    </row>
    <row r="21" spans="1:16" ht="18" customHeight="1">
      <c r="A21" s="176" t="s">
        <v>197</v>
      </c>
      <c r="B21" s="33" t="s">
        <v>198</v>
      </c>
      <c r="C21" s="39"/>
      <c r="D21" s="39">
        <v>2.2435628804617034</v>
      </c>
      <c r="E21" s="39">
        <v>2.6858696515414779</v>
      </c>
      <c r="F21" s="39">
        <v>2.9922154868455353</v>
      </c>
      <c r="G21" s="39">
        <v>2.5581684467125867</v>
      </c>
      <c r="H21" s="39">
        <v>2.6258873452062752</v>
      </c>
      <c r="I21" s="39">
        <v>2.2740631791526993</v>
      </c>
      <c r="J21" s="39">
        <v>2.7163436092090691</v>
      </c>
      <c r="K21" s="39">
        <v>2.5478683877913251</v>
      </c>
      <c r="L21" s="39">
        <v>1.8524710411230856</v>
      </c>
      <c r="M21" s="39">
        <v>2.5297418255753339</v>
      </c>
      <c r="N21" s="39">
        <v>2.2703939102073631</v>
      </c>
      <c r="O21" s="28">
        <f t="shared" si="0"/>
        <v>1.1959116447914399E-2</v>
      </c>
      <c r="P21" s="28">
        <f t="shared" si="1"/>
        <v>-0.16417278634773136</v>
      </c>
    </row>
    <row r="22" spans="1:16" ht="18" customHeight="1">
      <c r="A22" s="176"/>
      <c r="B22" s="35" t="s">
        <v>199</v>
      </c>
      <c r="C22" s="36"/>
      <c r="D22" s="36">
        <f ca="1">5.26191556270278*OFFSET(D$112,MATCH($N$1,$C$112:$C$113,0)-1,0)</f>
        <v>5.2619155627027796</v>
      </c>
      <c r="E22" s="36">
        <f ca="1">7.24660036687289*OFFSET(E$112,MATCH($N$1,$C$112:$C$113,0)-1,0)</f>
        <v>7.2466003668728902</v>
      </c>
      <c r="F22" s="36">
        <f ca="1">7.49107310120353*OFFSET(F$112,MATCH($N$1,$C$112:$C$113,0)-1,0)</f>
        <v>7.4910731012035301</v>
      </c>
      <c r="G22" s="36">
        <f ca="1">6.49420954222959*OFFSET(G$112,MATCH($N$1,$C$112:$C$113,0)-1,0)</f>
        <v>6.4942095422295898</v>
      </c>
      <c r="H22" s="36">
        <f ca="1">6.4570022259813*OFFSET(H$112,MATCH($N$1,$C$112:$C$113,0)-1,0)</f>
        <v>6.4570022259812996</v>
      </c>
      <c r="I22" s="36">
        <f ca="1">6.01144267056715*OFFSET(I$112,MATCH($N$1,$C$112:$C$113,0)-1,0)</f>
        <v>6.01144267056715</v>
      </c>
      <c r="J22" s="36">
        <f ca="1">6.5274740386493*OFFSET(J$112,MATCH($N$1,$C$112:$C$113,0)-1,0)</f>
        <v>6.5274740386493004</v>
      </c>
      <c r="K22" s="36">
        <f ca="1">6.29978169527642*OFFSET(K$112,MATCH($N$1,$C$112:$C$113,0)-1,0)</f>
        <v>6.2997816952764198</v>
      </c>
      <c r="L22" s="36">
        <f ca="1">5.83667903520913*OFFSET(L$112,MATCH($N$1,$C$112:$C$113,0)-1,0)</f>
        <v>5.83667903520913</v>
      </c>
      <c r="M22" s="36">
        <f ca="1">7.27244812381058*OFFSET(M$112,MATCH($N$1,$C$112:$C$113,0)-1,0)</f>
        <v>7.2724481238105803</v>
      </c>
      <c r="N22" s="36">
        <v>4.4984559169399203</v>
      </c>
      <c r="O22" s="28">
        <f t="shared" ca="1" si="0"/>
        <v>-0.1450915805594396</v>
      </c>
      <c r="P22" s="28">
        <f t="shared" ca="1" si="1"/>
        <v>-0.31084277159825141</v>
      </c>
    </row>
    <row r="23" spans="1:16" ht="18" customHeight="1">
      <c r="A23" s="176"/>
      <c r="B23" s="35" t="s">
        <v>154</v>
      </c>
      <c r="C23" s="36"/>
      <c r="D23" s="36">
        <f ca="1">4.84699861714834*OFFSET(D$112,MATCH($N$1,$C$112:$C$113,0)-1,0)</f>
        <v>4.8469986171483397</v>
      </c>
      <c r="E23" s="36">
        <f ca="1">5.73324901586737*OFFSET(E$112,MATCH($N$1,$C$112:$C$113,0)-1,0)</f>
        <v>5.7332490158673703</v>
      </c>
      <c r="F23" s="36">
        <f ca="1">6.19763016206307*OFFSET(F$112,MATCH($N$1,$C$112:$C$113,0)-1,0)</f>
        <v>6.1976301620630698</v>
      </c>
      <c r="G23" s="36">
        <f ca="1">5.77528812955336*OFFSET(G$112,MATCH($N$1,$C$112:$C$113,0)-1,0)</f>
        <v>5.7752881295533598</v>
      </c>
      <c r="H23" s="36">
        <f ca="1">5.64868768630856*OFFSET(H$112,MATCH($N$1,$C$112:$C$113,0)-1,0)</f>
        <v>5.64868768630856</v>
      </c>
      <c r="I23" s="36">
        <f ca="1">5.21522634683211*OFFSET(I$112,MATCH($N$1,$C$112:$C$113,0)-1,0)</f>
        <v>5.2152263468321101</v>
      </c>
      <c r="J23" s="36">
        <f ca="1">5.5061118687747*OFFSET(J$112,MATCH($N$1,$C$112:$C$113,0)-1,0)</f>
        <v>5.5061118687746999</v>
      </c>
      <c r="K23" s="36">
        <f ca="1">5.86819311547894*OFFSET(K$112,MATCH($N$1,$C$112:$C$113,0)-1,0)</f>
        <v>5.86819311547894</v>
      </c>
      <c r="L23" s="36">
        <f ca="1">5.71655951192232*OFFSET(L$112,MATCH($N$1,$C$112:$C$113,0)-1,0)</f>
        <v>5.7165595119223198</v>
      </c>
      <c r="M23" s="36">
        <f ca="1">6.56000847558498*OFFSET(M$112,MATCH($N$1,$C$112:$C$113,0)-1,0)</f>
        <v>6.5600084755849801</v>
      </c>
      <c r="N23" s="36">
        <v>4.9850260838299905</v>
      </c>
      <c r="O23" s="28">
        <f t="shared" ca="1" si="0"/>
        <v>2.8476894173916065E-2</v>
      </c>
      <c r="P23" s="28">
        <f t="shared" ca="1" si="1"/>
        <v>-9.4637703948552185E-2</v>
      </c>
    </row>
    <row r="24" spans="1:16" ht="18" customHeight="1">
      <c r="A24" s="176"/>
      <c r="B24" s="35" t="s">
        <v>155</v>
      </c>
      <c r="C24" s="36"/>
      <c r="D24" s="36">
        <f ca="1">0.542557416057392*OFFSET(D$112,MATCH($N$1,$C$112:$C$113,0)-1,0)</f>
        <v>0.54255741605739205</v>
      </c>
      <c r="E24" s="36">
        <f ca="1">1.58804894681349*OFFSET(E$112,MATCH($N$1,$C$112:$C$113,0)-1,0)</f>
        <v>1.58804894681349</v>
      </c>
      <c r="F24" s="36">
        <f ca="1">1.70533120528041*OFFSET(F$112,MATCH($N$1,$C$112:$C$113,0)-1,0)</f>
        <v>1.7053312052804099</v>
      </c>
      <c r="G24" s="36">
        <f ca="1">0.842911844407051*OFFSET(G$112,MATCH($N$1,$C$112:$C$113,0)-1,0)</f>
        <v>0.84291184440705103</v>
      </c>
      <c r="H24" s="36">
        <f ca="1">1.34058351643529*OFFSET(H$112,MATCH($N$1,$C$112:$C$113,0)-1,0)</f>
        <v>1.3405835164352899</v>
      </c>
      <c r="I24" s="36">
        <f ca="1">0.953444389458213*OFFSET(I$112,MATCH($N$1,$C$112:$C$113,0)-1,0)</f>
        <v>0.95344438945821297</v>
      </c>
      <c r="J24" s="36">
        <f ca="1">1.1428116193437*OFFSET(J$112,MATCH($N$1,$C$112:$C$113,0)-1,0)</f>
        <v>1.1428116193436999</v>
      </c>
      <c r="K24" s="36">
        <f ca="1">0.939873051298818*OFFSET(K$112,MATCH($N$1,$C$112:$C$113,0)-1,0)</f>
        <v>0.93987305129881804</v>
      </c>
      <c r="L24" s="36">
        <f ca="1">0.287728672313978*OFFSET(L$112,MATCH($N$1,$C$112:$C$113,0)-1,0)</f>
        <v>0.28772867231397797</v>
      </c>
      <c r="M24" s="36">
        <f ca="1">0.937638506381657*OFFSET(M$112,MATCH($N$1,$C$112:$C$113,0)-1,0)</f>
        <v>0.93763850638165702</v>
      </c>
      <c r="N24" s="36">
        <v>-3.4065385765346379E-3</v>
      </c>
      <c r="O24" s="28">
        <f t="shared" ca="1" si="0"/>
        <v>-1.0062786692720724</v>
      </c>
      <c r="P24" s="28">
        <f t="shared" ca="1" si="1"/>
        <v>-1.0029808399904885</v>
      </c>
    </row>
    <row r="25" spans="1:16" ht="18" customHeight="1">
      <c r="A25" s="176"/>
      <c r="B25" s="35" t="s">
        <v>200</v>
      </c>
      <c r="C25" s="31"/>
      <c r="D25" s="31">
        <f ca="1">45.3*OFFSET(D$112,MATCH($N$1,$C$112:$C$113,0)-1,0)</f>
        <v>45.3</v>
      </c>
      <c r="E25" s="31">
        <f ca="1">65.81*OFFSET(E$112,MATCH($N$1,$C$112:$C$113,0)-1,0)</f>
        <v>65.81</v>
      </c>
      <c r="F25" s="31">
        <f ca="1">73.8*OFFSET(F$112,MATCH($N$1,$C$112:$C$113,0)-1,0)</f>
        <v>73.8</v>
      </c>
      <c r="G25" s="31">
        <f ca="1">67.1*OFFSET(G$112,MATCH($N$1,$C$112:$C$113,0)-1,0)</f>
        <v>67.099999999999994</v>
      </c>
      <c r="H25" s="31">
        <f ca="1">53.97*OFFSET(H$112,MATCH($N$1,$C$112:$C$113,0)-1,0)</f>
        <v>53.97</v>
      </c>
      <c r="I25" s="31">
        <f ca="1">46.3*OFFSET(I$112,MATCH($N$1,$C$112:$C$113,0)-1,0)</f>
        <v>46.3</v>
      </c>
      <c r="J25" s="31">
        <f ca="1">66*OFFSET(J$112,MATCH($N$1,$C$112:$C$113,0)-1,0)</f>
        <v>66</v>
      </c>
      <c r="K25" s="31">
        <f ca="1">65.23*OFFSET(K$112,MATCH($N$1,$C$112:$C$113,0)-1,0)</f>
        <v>65.23</v>
      </c>
      <c r="L25" s="31">
        <f ca="1">52.56*OFFSET(L$112,MATCH($N$1,$C$112:$C$113,0)-1,0)</f>
        <v>52.56</v>
      </c>
      <c r="M25" s="31">
        <f ca="1">66.92*OFFSET(M$112,MATCH($N$1,$C$112:$C$113,0)-1,0)</f>
        <v>66.92</v>
      </c>
      <c r="N25" s="31">
        <v>41.57</v>
      </c>
      <c r="O25" s="28">
        <f t="shared" ca="1" si="0"/>
        <v>-8.2339955849889554E-2</v>
      </c>
      <c r="P25" s="28">
        <f t="shared" ca="1" si="1"/>
        <v>-0.37015151515151512</v>
      </c>
    </row>
    <row r="26" spans="1:16" ht="18" customHeight="1">
      <c r="A26" s="177"/>
      <c r="B26" s="35" t="s">
        <v>201</v>
      </c>
      <c r="C26" s="31"/>
      <c r="D26" s="31">
        <f ca="1">4.67*OFFSET(D$112,MATCH($N$1,$C$112:$C$113,0)-1,0)</f>
        <v>4.67</v>
      </c>
      <c r="E26" s="31">
        <f ca="1">14.43*OFFSET(E$112,MATCH($N$1,$C$112:$C$113,0)-1,0)</f>
        <v>14.43</v>
      </c>
      <c r="F26" s="31">
        <f ca="1">16.8*OFFSET(F$112,MATCH($N$1,$C$112:$C$113,0)-1,0)</f>
        <v>16.8</v>
      </c>
      <c r="G26" s="31">
        <f ca="1">8.71*OFFSET(G$112,MATCH($N$1,$C$112:$C$113,0)-1,0)</f>
        <v>8.7100000000000009</v>
      </c>
      <c r="H26" s="31">
        <f ca="1">11.21*OFFSET(H$112,MATCH($N$1,$C$112:$C$113,0)-1,0)</f>
        <v>11.21</v>
      </c>
      <c r="I26" s="31">
        <f ca="1">7.35*OFFSET(I$112,MATCH($N$1,$C$112:$C$113,0)-1,0)</f>
        <v>7.35</v>
      </c>
      <c r="J26" s="31">
        <f ca="1">11.55*OFFSET(J$112,MATCH($N$1,$C$112:$C$113,0)-1,0)</f>
        <v>11.55</v>
      </c>
      <c r="K26" s="31">
        <f ca="1">9.74*OFFSET(K$112,MATCH($N$1,$C$112:$C$113,0)-1,0)</f>
        <v>9.74</v>
      </c>
      <c r="L26" s="31">
        <f ca="1">2.59*OFFSET(L$112,MATCH($N$1,$C$112:$C$113,0)-1,0)</f>
        <v>2.59</v>
      </c>
      <c r="M26" s="31">
        <f ca="1">8.62*OFFSET(M$112,MATCH($N$1,$C$112:$C$113,0)-1,0)</f>
        <v>8.6199999999999992</v>
      </c>
      <c r="N26" s="31">
        <v>-0.02</v>
      </c>
      <c r="O26" s="32">
        <f t="shared" ca="1" si="0"/>
        <v>-1.0042826552462525</v>
      </c>
      <c r="P26" s="32">
        <f t="shared" ca="1" si="1"/>
        <v>-1.0017316017316016</v>
      </c>
    </row>
    <row r="27" spans="1:16" ht="18" customHeight="1">
      <c r="A27" s="166" t="s">
        <v>202</v>
      </c>
      <c r="B27" s="33" t="s">
        <v>193</v>
      </c>
      <c r="C27" s="34"/>
      <c r="D27" s="34">
        <f ca="1">299.6*OFFSET(D$112,MATCH($N$1,$C$112:$C$113,0)-1,0)</f>
        <v>299.60000000000002</v>
      </c>
      <c r="E27" s="34">
        <f ca="1">388.2*OFFSET(E$112,MATCH($N$1,$C$112:$C$113,0)-1,0)</f>
        <v>388.2</v>
      </c>
      <c r="F27" s="34">
        <f ca="1">443.6*OFFSET(F$112,MATCH($N$1,$C$112:$C$113,0)-1,0)</f>
        <v>443.6</v>
      </c>
      <c r="G27" s="34">
        <f ca="1">386*OFFSET(G$112,MATCH($N$1,$C$112:$C$113,0)-1,0)</f>
        <v>386</v>
      </c>
      <c r="H27" s="34">
        <f ca="1">403.5*OFFSET(H$112,MATCH($N$1,$C$112:$C$113,0)-1,0)</f>
        <v>403.5</v>
      </c>
      <c r="I27" s="34">
        <f ca="1">357.4*OFFSET(I$112,MATCH($N$1,$C$112:$C$113,0)-1,0)</f>
        <v>357.4</v>
      </c>
      <c r="J27" s="34">
        <f ca="1">407.9*OFFSET(J$112,MATCH($N$1,$C$112:$C$113,0)-1,0)</f>
        <v>407.9</v>
      </c>
      <c r="K27" s="34">
        <f ca="1">365.8*OFFSET(K$112,MATCH($N$1,$C$112:$C$113,0)-1,0)</f>
        <v>365.8</v>
      </c>
      <c r="L27" s="34">
        <f ca="1">317.2*OFFSET(L$112,MATCH($N$1,$C$112:$C$113,0)-1,0)</f>
        <v>317.2</v>
      </c>
      <c r="M27" s="34">
        <f ca="1">415.3*OFFSET(M$112,MATCH($N$1,$C$112:$C$113,0)-1,0)</f>
        <v>415.3</v>
      </c>
      <c r="N27" s="34">
        <v>195.9</v>
      </c>
      <c r="O27" s="28">
        <f t="shared" ca="1" si="0"/>
        <v>-0.34612817089452608</v>
      </c>
      <c r="P27" s="28">
        <f t="shared" ca="1" si="1"/>
        <v>-0.51973522922284865</v>
      </c>
    </row>
    <row r="28" spans="1:16" ht="18" customHeight="1">
      <c r="A28" s="178"/>
      <c r="B28" s="35" t="s">
        <v>203</v>
      </c>
      <c r="C28" s="31"/>
      <c r="D28" s="31">
        <f ca="1">7.3*OFFSET(D$112,MATCH($N$1,$C$112:$C$113,0)-1,0)</f>
        <v>7.3</v>
      </c>
      <c r="E28" s="31">
        <f ca="1">4*OFFSET(E$112,MATCH($N$1,$C$112:$C$113,0)-1,0)</f>
        <v>4</v>
      </c>
      <c r="F28" s="31">
        <f ca="1">24.4*OFFSET(F$112,MATCH($N$1,$C$112:$C$113,0)-1,0)</f>
        <v>24.4</v>
      </c>
      <c r="G28" s="31">
        <f ca="1">7.4*OFFSET(G$112,MATCH($N$1,$C$112:$C$113,0)-1,0)</f>
        <v>7.4</v>
      </c>
      <c r="H28" s="31">
        <f ca="1">33.3*OFFSET(H$112,MATCH($N$1,$C$112:$C$113,0)-1,0)</f>
        <v>33.299999999999997</v>
      </c>
      <c r="I28" s="31">
        <f ca="1">9.3*OFFSET(I$112,MATCH($N$1,$C$112:$C$113,0)-1,0)</f>
        <v>9.3000000000000007</v>
      </c>
      <c r="J28" s="31">
        <f ca="1">7.6*OFFSET(J$112,MATCH($N$1,$C$112:$C$113,0)-1,0)</f>
        <v>7.6</v>
      </c>
      <c r="K28" s="31">
        <f ca="1">29.5*OFFSET(K$112,MATCH($N$1,$C$112:$C$113,0)-1,0)</f>
        <v>29.5</v>
      </c>
      <c r="L28" s="31">
        <f ca="1">9.1*OFFSET(L$112,MATCH($N$1,$C$112:$C$113,0)-1,0)</f>
        <v>9.1</v>
      </c>
      <c r="M28" s="31">
        <f ca="1">12.9*OFFSET(M$112,MATCH($N$1,$C$112:$C$113,0)-1,0)</f>
        <v>12.9</v>
      </c>
      <c r="N28" s="31">
        <v>21</v>
      </c>
      <c r="O28" s="28">
        <f t="shared" ca="1" si="0"/>
        <v>1.8767123287671232</v>
      </c>
      <c r="P28" s="28">
        <f t="shared" ca="1" si="1"/>
        <v>1.7631578947368423</v>
      </c>
    </row>
    <row r="29" spans="1:16" ht="18" customHeight="1">
      <c r="A29" s="178"/>
      <c r="B29" s="40" t="s">
        <v>204</v>
      </c>
      <c r="C29" s="41"/>
      <c r="D29" s="41">
        <f ca="1">306.9*OFFSET(D$112,MATCH($N$1,$C$112:$C$113,0)-1,0)</f>
        <v>306.89999999999998</v>
      </c>
      <c r="E29" s="41">
        <f ca="1">392.2*OFFSET(E$112,MATCH($N$1,$C$112:$C$113,0)-1,0)</f>
        <v>392.2</v>
      </c>
      <c r="F29" s="41">
        <f ca="1">468*OFFSET(F$112,MATCH($N$1,$C$112:$C$113,0)-1,0)</f>
        <v>468</v>
      </c>
      <c r="G29" s="41">
        <f ca="1">393.4*OFFSET(G$112,MATCH($N$1,$C$112:$C$113,0)-1,0)</f>
        <v>393.4</v>
      </c>
      <c r="H29" s="41">
        <f ca="1">436.7*OFFSET(H$112,MATCH($N$1,$C$112:$C$113,0)-1,0)</f>
        <v>436.7</v>
      </c>
      <c r="I29" s="41">
        <f ca="1">366.7*OFFSET(I$112,MATCH($N$1,$C$112:$C$113,0)-1,0)</f>
        <v>366.7</v>
      </c>
      <c r="J29" s="41">
        <f ca="1">415.5*OFFSET(J$112,MATCH($N$1,$C$112:$C$113,0)-1,0)</f>
        <v>415.5</v>
      </c>
      <c r="K29" s="41">
        <f ca="1">395.3*OFFSET(K$112,MATCH($N$1,$C$112:$C$113,0)-1,0)</f>
        <v>395.3</v>
      </c>
      <c r="L29" s="41">
        <f ca="1">326.3*OFFSET(L$112,MATCH($N$1,$C$112:$C$113,0)-1,0)</f>
        <v>326.3</v>
      </c>
      <c r="M29" s="41">
        <f ca="1">428.1*OFFSET(M$112,MATCH($N$1,$C$112:$C$113,0)-1,0)</f>
        <v>428.1</v>
      </c>
      <c r="N29" s="41">
        <v>216.9</v>
      </c>
      <c r="O29" s="28">
        <f t="shared" ca="1" si="0"/>
        <v>-0.29325513196480929</v>
      </c>
      <c r="P29" s="28">
        <f t="shared" ca="1" si="1"/>
        <v>-0.47797833935018047</v>
      </c>
    </row>
    <row r="30" spans="1:16" ht="18" customHeight="1">
      <c r="A30" s="178"/>
      <c r="B30" s="35" t="s">
        <v>205</v>
      </c>
      <c r="C30" s="31"/>
      <c r="D30" s="31">
        <f ca="1">73.6*OFFSET(D$112,MATCH($N$1,$C$112:$C$113,0)-1,0)</f>
        <v>73.599999999999994</v>
      </c>
      <c r="E30" s="31">
        <f ca="1">91.5*OFFSET(E$112,MATCH($N$1,$C$112:$C$113,0)-1,0)</f>
        <v>91.5</v>
      </c>
      <c r="F30" s="31">
        <f ca="1">96.1*OFFSET(F$112,MATCH($N$1,$C$112:$C$113,0)-1,0)</f>
        <v>96.1</v>
      </c>
      <c r="G30" s="31">
        <f ca="1">94.7*OFFSET(G$112,MATCH($N$1,$C$112:$C$113,0)-1,0)</f>
        <v>94.7</v>
      </c>
      <c r="H30" s="31">
        <f ca="1">87.8*OFFSET(H$112,MATCH($N$1,$C$112:$C$113,0)-1,0)</f>
        <v>87.8</v>
      </c>
      <c r="I30" s="31">
        <f ca="1">55.7*OFFSET(I$112,MATCH($N$1,$C$112:$C$113,0)-1,0)</f>
        <v>55.7</v>
      </c>
      <c r="J30" s="31">
        <f ca="1">54.7*OFFSET(J$112,MATCH($N$1,$C$112:$C$113,0)-1,0)</f>
        <v>54.7</v>
      </c>
      <c r="K30" s="31">
        <f ca="1">63.7*OFFSET(K$112,MATCH($N$1,$C$112:$C$113,0)-1,0)</f>
        <v>63.7</v>
      </c>
      <c r="L30" s="31">
        <f ca="1">73.6*OFFSET(L$112,MATCH($N$1,$C$112:$C$113,0)-1,0)</f>
        <v>73.599999999999994</v>
      </c>
      <c r="M30" s="31">
        <f ca="1">71.5*OFFSET(M$112,MATCH($N$1,$C$112:$C$113,0)-1,0)</f>
        <v>71.5</v>
      </c>
      <c r="N30" s="31">
        <v>42.9</v>
      </c>
      <c r="O30" s="28">
        <f t="shared" ca="1" si="0"/>
        <v>-0.4171195652173913</v>
      </c>
      <c r="P30" s="28">
        <f t="shared" ca="1" si="1"/>
        <v>-0.21572212065813534</v>
      </c>
    </row>
    <row r="31" spans="1:16" ht="18" customHeight="1">
      <c r="A31" s="178"/>
      <c r="B31" s="35" t="s">
        <v>206</v>
      </c>
      <c r="C31" s="31"/>
      <c r="D31" s="31">
        <f ca="1">63.1*OFFSET(D$112,MATCH($N$1,$C$112:$C$113,0)-1,0)</f>
        <v>63.1</v>
      </c>
      <c r="E31" s="31">
        <f ca="1">74.5*OFFSET(E$112,MATCH($N$1,$C$112:$C$113,0)-1,0)</f>
        <v>74.5</v>
      </c>
      <c r="F31" s="31">
        <f ca="1">103.9*OFFSET(F$112,MATCH($N$1,$C$112:$C$113,0)-1,0)</f>
        <v>103.9</v>
      </c>
      <c r="G31" s="31">
        <f ca="1">89.8*OFFSET(G$112,MATCH($N$1,$C$112:$C$113,0)-1,0)</f>
        <v>89.8</v>
      </c>
      <c r="H31" s="31">
        <f ca="1">106.7*OFFSET(H$112,MATCH($N$1,$C$112:$C$113,0)-1,0)</f>
        <v>106.7</v>
      </c>
      <c r="I31" s="31">
        <f ca="1">103.1*OFFSET(I$112,MATCH($N$1,$C$112:$C$113,0)-1,0)</f>
        <v>103.1</v>
      </c>
      <c r="J31" s="31">
        <f ca="1">129.6*OFFSET(J$112,MATCH($N$1,$C$112:$C$113,0)-1,0)</f>
        <v>129.6</v>
      </c>
      <c r="K31" s="31">
        <f ca="1">118.1*OFFSET(K$112,MATCH($N$1,$C$112:$C$113,0)-1,0)</f>
        <v>118.1</v>
      </c>
      <c r="L31" s="31">
        <f ca="1">93.1*OFFSET(L$112,MATCH($N$1,$C$112:$C$113,0)-1,0)</f>
        <v>93.1</v>
      </c>
      <c r="M31" s="31">
        <f ca="1">130.7*OFFSET(M$112,MATCH($N$1,$C$112:$C$113,0)-1,0)</f>
        <v>130.69999999999999</v>
      </c>
      <c r="N31" s="31">
        <v>57.7</v>
      </c>
      <c r="O31" s="28">
        <f t="shared" ca="1" si="0"/>
        <v>-8.5578446909667177E-2</v>
      </c>
      <c r="P31" s="28">
        <f t="shared" ca="1" si="1"/>
        <v>-0.55478395061728392</v>
      </c>
    </row>
    <row r="32" spans="1:16" ht="18" customHeight="1">
      <c r="A32" s="178"/>
      <c r="B32" s="35" t="s">
        <v>207</v>
      </c>
      <c r="C32" s="31"/>
      <c r="D32" s="31">
        <f ca="1">46.3*OFFSET(D$112,MATCH($N$1,$C$112:$C$113,0)-1,0)</f>
        <v>46.3</v>
      </c>
      <c r="E32" s="31">
        <f ca="1">52.2*OFFSET(E$112,MATCH($N$1,$C$112:$C$113,0)-1,0)</f>
        <v>52.2</v>
      </c>
      <c r="F32" s="31">
        <f ca="1">61.7*OFFSET(F$112,MATCH($N$1,$C$112:$C$113,0)-1,0)</f>
        <v>61.7</v>
      </c>
      <c r="G32" s="31">
        <f ca="1">62.7*OFFSET(G$112,MATCH($N$1,$C$112:$C$113,0)-1,0)</f>
        <v>62.7</v>
      </c>
      <c r="H32" s="31">
        <f ca="1">62.3*OFFSET(H$112,MATCH($N$1,$C$112:$C$113,0)-1,0)</f>
        <v>62.3</v>
      </c>
      <c r="I32" s="31">
        <f ca="1">60.6*OFFSET(I$112,MATCH($N$1,$C$112:$C$113,0)-1,0)</f>
        <v>60.6</v>
      </c>
      <c r="J32" s="31">
        <f ca="1">63.7*OFFSET(J$112,MATCH($N$1,$C$112:$C$113,0)-1,0)</f>
        <v>63.7</v>
      </c>
      <c r="K32" s="31">
        <f ca="1">57.2*OFFSET(K$112,MATCH($N$1,$C$112:$C$113,0)-1,0)</f>
        <v>57.2</v>
      </c>
      <c r="L32" s="31">
        <f ca="1">37.5*OFFSET(L$112,MATCH($N$1,$C$112:$C$113,0)-1,0)</f>
        <v>37.5</v>
      </c>
      <c r="M32" s="31">
        <f ca="1">35.2*OFFSET(M$112,MATCH($N$1,$C$112:$C$113,0)-1,0)</f>
        <v>35.200000000000003</v>
      </c>
      <c r="N32" s="31">
        <v>16.600000000000001</v>
      </c>
      <c r="O32" s="28">
        <f t="shared" ca="1" si="0"/>
        <v>-0.64146868250539957</v>
      </c>
      <c r="P32" s="28">
        <f t="shared" ca="1" si="1"/>
        <v>-0.73940345368916793</v>
      </c>
    </row>
    <row r="33" spans="1:16" ht="18" customHeight="1">
      <c r="A33" s="178"/>
      <c r="B33" s="35" t="s">
        <v>208</v>
      </c>
      <c r="C33" s="31"/>
      <c r="D33" s="31">
        <f ca="1">183*OFFSET(D$112,MATCH($N$1,$C$112:$C$113,0)-1,0)</f>
        <v>183</v>
      </c>
      <c r="E33" s="31">
        <f ca="1">218.1*OFFSET(E$112,MATCH($N$1,$C$112:$C$113,0)-1,0)</f>
        <v>218.1</v>
      </c>
      <c r="F33" s="31">
        <f ca="1">261.8*OFFSET(F$112,MATCH($N$1,$C$112:$C$113,0)-1,0)</f>
        <v>261.8</v>
      </c>
      <c r="G33" s="31">
        <f ca="1">247.3*OFFSET(G$112,MATCH($N$1,$C$112:$C$113,0)-1,0)</f>
        <v>247.3</v>
      </c>
      <c r="H33" s="31">
        <f ca="1">256.8*OFFSET(H$112,MATCH($N$1,$C$112:$C$113,0)-1,0)</f>
        <v>256.8</v>
      </c>
      <c r="I33" s="31">
        <f ca="1">219.4*OFFSET(I$112,MATCH($N$1,$C$112:$C$113,0)-1,0)</f>
        <v>219.4</v>
      </c>
      <c r="J33" s="31">
        <f ca="1">248*OFFSET(J$112,MATCH($N$1,$C$112:$C$113,0)-1,0)</f>
        <v>248</v>
      </c>
      <c r="K33" s="31">
        <f ca="1">238.9*OFFSET(K$112,MATCH($N$1,$C$112:$C$113,0)-1,0)</f>
        <v>238.9</v>
      </c>
      <c r="L33" s="31">
        <f ca="1">204.3*OFFSET(L$112,MATCH($N$1,$C$112:$C$113,0)-1,0)</f>
        <v>204.3</v>
      </c>
      <c r="M33" s="31">
        <f ca="1">237.3*OFFSET(M$112,MATCH($N$1,$C$112:$C$113,0)-1,0)</f>
        <v>237.3</v>
      </c>
      <c r="N33" s="31">
        <v>117.3</v>
      </c>
      <c r="O33" s="28">
        <f t="shared" ca="1" si="0"/>
        <v>-0.35901639344262298</v>
      </c>
      <c r="P33" s="28">
        <f t="shared" ca="1" si="1"/>
        <v>-0.52701612903225803</v>
      </c>
    </row>
    <row r="34" spans="1:16" ht="18" customHeight="1">
      <c r="A34" s="178"/>
      <c r="B34" s="35" t="s">
        <v>209</v>
      </c>
      <c r="C34" s="31"/>
      <c r="D34" s="31">
        <f ca="1">93*OFFSET(D$112,MATCH($N$1,$C$112:$C$113,0)-1,0)</f>
        <v>93</v>
      </c>
      <c r="E34" s="31">
        <f ca="1">89*OFFSET(E$112,MATCH($N$1,$C$112:$C$113,0)-1,0)</f>
        <v>89</v>
      </c>
      <c r="F34" s="31">
        <f ca="1">105.3*OFFSET(F$112,MATCH($N$1,$C$112:$C$113,0)-1,0)</f>
        <v>105.3</v>
      </c>
      <c r="G34" s="31">
        <f ca="1">96*OFFSET(G$112,MATCH($N$1,$C$112:$C$113,0)-1,0)</f>
        <v>96</v>
      </c>
      <c r="H34" s="31">
        <f ca="1">96.1*OFFSET(H$112,MATCH($N$1,$C$112:$C$113,0)-1,0)</f>
        <v>96.1</v>
      </c>
      <c r="I34" s="31">
        <f ca="1">90.6*OFFSET(I$112,MATCH($N$1,$C$112:$C$113,0)-1,0)</f>
        <v>90.6</v>
      </c>
      <c r="J34" s="31">
        <f ca="1">96.1*OFFSET(J$112,MATCH($N$1,$C$112:$C$113,0)-1,0)</f>
        <v>96.1</v>
      </c>
      <c r="K34" s="31">
        <f ca="1">101.8*OFFSET(K$112,MATCH($N$1,$C$112:$C$113,0)-1,0)</f>
        <v>101.8</v>
      </c>
      <c r="L34" s="31">
        <f ca="1">106.4*OFFSET(L$112,MATCH($N$1,$C$112:$C$113,0)-1,0)</f>
        <v>106.4</v>
      </c>
      <c r="M34" s="31">
        <f ca="1">137.3*OFFSET(M$112,MATCH($N$1,$C$112:$C$113,0)-1,0)</f>
        <v>137.30000000000001</v>
      </c>
      <c r="N34" s="31">
        <v>99.8</v>
      </c>
      <c r="O34" s="28">
        <f t="shared" ca="1" si="0"/>
        <v>7.3118279569892447E-2</v>
      </c>
      <c r="P34" s="28">
        <f t="shared" ca="1" si="1"/>
        <v>3.850156087408952E-2</v>
      </c>
    </row>
    <row r="35" spans="1:16" ht="18" customHeight="1">
      <c r="A35" s="178"/>
      <c r="B35" s="35" t="s">
        <v>210</v>
      </c>
      <c r="C35" s="31"/>
      <c r="D35" s="31">
        <f ca="1">276*OFFSET(D$112,MATCH($N$1,$C$112:$C$113,0)-1,0)</f>
        <v>276</v>
      </c>
      <c r="E35" s="31">
        <f ca="1">307.2*OFFSET(E$112,MATCH($N$1,$C$112:$C$113,0)-1,0)</f>
        <v>307.2</v>
      </c>
      <c r="F35" s="31">
        <f ca="1">367*OFFSET(F$112,MATCH($N$1,$C$112:$C$113,0)-1,0)</f>
        <v>367</v>
      </c>
      <c r="G35" s="31">
        <f ca="1">343.3*OFFSET(G$112,MATCH($N$1,$C$112:$C$113,0)-1,0)</f>
        <v>343.3</v>
      </c>
      <c r="H35" s="31">
        <f ca="1">352.9*OFFSET(H$112,MATCH($N$1,$C$112:$C$113,0)-1,0)</f>
        <v>352.9</v>
      </c>
      <c r="I35" s="31">
        <f ca="1">310*OFFSET(I$112,MATCH($N$1,$C$112:$C$113,0)-1,0)</f>
        <v>310</v>
      </c>
      <c r="J35" s="31">
        <f ca="1">344.1*OFFSET(J$112,MATCH($N$1,$C$112:$C$113,0)-1,0)</f>
        <v>344.1</v>
      </c>
      <c r="K35" s="31">
        <f ca="1">340.7*OFFSET(K$112,MATCH($N$1,$C$112:$C$113,0)-1,0)</f>
        <v>340.7</v>
      </c>
      <c r="L35" s="31">
        <f ca="1">310.7*OFFSET(L$112,MATCH($N$1,$C$112:$C$113,0)-1,0)</f>
        <v>310.7</v>
      </c>
      <c r="M35" s="31">
        <f ca="1">374.6*OFFSET(M$112,MATCH($N$1,$C$112:$C$113,0)-1,0)</f>
        <v>374.6</v>
      </c>
      <c r="N35" s="31">
        <v>217.1</v>
      </c>
      <c r="O35" s="28">
        <f t="shared" ca="1" si="0"/>
        <v>-0.2134057971014493</v>
      </c>
      <c r="P35" s="28">
        <f t="shared" ca="1" si="1"/>
        <v>-0.36907875617553043</v>
      </c>
    </row>
    <row r="36" spans="1:16" ht="18" customHeight="1">
      <c r="A36" s="178"/>
      <c r="B36" s="40" t="s">
        <v>211</v>
      </c>
      <c r="C36" s="41"/>
      <c r="D36" s="41">
        <f ca="1">94*OFFSET(D$112,MATCH($N$1,$C$112:$C$113,0)-1,0)</f>
        <v>94</v>
      </c>
      <c r="E36" s="41">
        <f ca="1">159.6*OFFSET(E$112,MATCH($N$1,$C$112:$C$113,0)-1,0)</f>
        <v>159.6</v>
      </c>
      <c r="F36" s="41">
        <f ca="1">204.9*OFFSET(F$112,MATCH($N$1,$C$112:$C$113,0)-1,0)</f>
        <v>204.9</v>
      </c>
      <c r="G36" s="41">
        <f ca="1">139.9*OFFSET(G$112,MATCH($N$1,$C$112:$C$113,0)-1,0)</f>
        <v>139.9</v>
      </c>
      <c r="H36" s="41">
        <f ca="1">190.5*OFFSET(H$112,MATCH($N$1,$C$112:$C$113,0)-1,0)</f>
        <v>190.5</v>
      </c>
      <c r="I36" s="41">
        <f ca="1">159.8*OFFSET(I$112,MATCH($N$1,$C$112:$C$113,0)-1,0)</f>
        <v>159.80000000000001</v>
      </c>
      <c r="J36" s="41">
        <f ca="1">201*OFFSET(J$112,MATCH($N$1,$C$112:$C$113,0)-1,0)</f>
        <v>201</v>
      </c>
      <c r="K36" s="41">
        <f ca="1">172.7*OFFSET(K$112,MATCH($N$1,$C$112:$C$113,0)-1,0)</f>
        <v>172.7</v>
      </c>
      <c r="L36" s="41">
        <f ca="1">108.7*OFFSET(L$112,MATCH($N$1,$C$112:$C$113,0)-1,0)</f>
        <v>108.7</v>
      </c>
      <c r="M36" s="41">
        <f ca="1">184.2*OFFSET(M$112,MATCH($N$1,$C$112:$C$113,0)-1,0)</f>
        <v>184.2</v>
      </c>
      <c r="N36" s="41">
        <v>57.6</v>
      </c>
      <c r="O36" s="28">
        <f t="shared" ca="1" si="0"/>
        <v>-0.38723404255319149</v>
      </c>
      <c r="P36" s="28">
        <f t="shared" ca="1" si="1"/>
        <v>-0.71343283582089556</v>
      </c>
    </row>
    <row r="37" spans="1:16" ht="18" customHeight="1">
      <c r="A37" s="178"/>
      <c r="B37" s="40" t="s">
        <v>212</v>
      </c>
      <c r="C37" s="41"/>
      <c r="D37" s="41">
        <f ca="1">30.9*OFFSET(D$112,MATCH($N$1,$C$112:$C$113,0)-1,0)</f>
        <v>30.9</v>
      </c>
      <c r="E37" s="41">
        <f ca="1">85.1*OFFSET(E$112,MATCH($N$1,$C$112:$C$113,0)-1,0)</f>
        <v>85.1</v>
      </c>
      <c r="F37" s="41">
        <f ca="1">101*OFFSET(F$112,MATCH($N$1,$C$112:$C$113,0)-1,0)</f>
        <v>101</v>
      </c>
      <c r="G37" s="41">
        <f ca="1">50.1*OFFSET(G$112,MATCH($N$1,$C$112:$C$113,0)-1,0)</f>
        <v>50.1</v>
      </c>
      <c r="H37" s="41">
        <f ca="1">83.8*OFFSET(H$112,MATCH($N$1,$C$112:$C$113,0)-1,0)</f>
        <v>83.8</v>
      </c>
      <c r="I37" s="41">
        <f ca="1">56.7*OFFSET(I$112,MATCH($N$1,$C$112:$C$113,0)-1,0)</f>
        <v>56.7</v>
      </c>
      <c r="J37" s="41">
        <f ca="1">71.4*OFFSET(J$112,MATCH($N$1,$C$112:$C$113,0)-1,0)</f>
        <v>71.400000000000006</v>
      </c>
      <c r="K37" s="41">
        <f ca="1">54.6*OFFSET(K$112,MATCH($N$1,$C$112:$C$113,0)-1,0)</f>
        <v>54.6</v>
      </c>
      <c r="L37" s="41">
        <f ca="1">15.6*OFFSET(L$112,MATCH($N$1,$C$112:$C$113,0)-1,0)</f>
        <v>15.6</v>
      </c>
      <c r="M37" s="41">
        <f ca="1">53.5*OFFSET(M$112,MATCH($N$1,$C$112:$C$113,0)-1,0)</f>
        <v>53.5</v>
      </c>
      <c r="N37" s="41">
        <v>-0.1</v>
      </c>
      <c r="O37" s="28">
        <f t="shared" ca="1" si="0"/>
        <v>-1.0032362459546926</v>
      </c>
      <c r="P37" s="28">
        <f t="shared" ca="1" si="1"/>
        <v>-1.0014005602240896</v>
      </c>
    </row>
    <row r="38" spans="1:16" ht="18" customHeight="1">
      <c r="A38" s="178"/>
      <c r="B38" s="35" t="s">
        <v>213</v>
      </c>
      <c r="C38" s="31"/>
      <c r="D38" s="31">
        <f ca="1">9.4*OFFSET(D$112,MATCH($N$1,$C$112:$C$113,0)-1,0)</f>
        <v>9.4</v>
      </c>
      <c r="E38" s="31">
        <f ca="1">26.8*OFFSET(E$112,MATCH($N$1,$C$112:$C$113,0)-1,0)</f>
        <v>26.8</v>
      </c>
      <c r="F38" s="31">
        <f ca="1">18.7*OFFSET(F$112,MATCH($N$1,$C$112:$C$113,0)-1,0)</f>
        <v>18.7</v>
      </c>
      <c r="G38" s="31">
        <f ca="1">19.6*OFFSET(G$112,MATCH($N$1,$C$112:$C$113,0)-1,0)</f>
        <v>19.600000000000001</v>
      </c>
      <c r="H38" s="31">
        <f ca="1">20.4*OFFSET(H$112,MATCH($N$1,$C$112:$C$113,0)-1,0)</f>
        <v>20.399999999999999</v>
      </c>
      <c r="I38" s="31">
        <f ca="1">20.3*OFFSET(I$112,MATCH($N$1,$C$112:$C$113,0)-1,0)</f>
        <v>20.3</v>
      </c>
      <c r="J38" s="31">
        <f ca="1">25.6*OFFSET(J$112,MATCH($N$1,$C$112:$C$113,0)-1,0)</f>
        <v>25.6</v>
      </c>
      <c r="K38" s="31">
        <f ca="1">19*OFFSET(K$112,MATCH($N$1,$C$112:$C$113,0)-1,0)</f>
        <v>19</v>
      </c>
      <c r="L38" s="31">
        <f ca="1">18.8*OFFSET(L$112,MATCH($N$1,$C$112:$C$113,0)-1,0)</f>
        <v>18.8</v>
      </c>
      <c r="M38" s="31">
        <f ca="1">20.4*OFFSET(M$112,MATCH($N$1,$C$112:$C$113,0)-1,0)</f>
        <v>20.399999999999999</v>
      </c>
      <c r="N38" s="31"/>
      <c r="O38" s="28" t="str">
        <f t="shared" si="0"/>
        <v/>
      </c>
      <c r="P38" s="28" t="str">
        <f t="shared" si="1"/>
        <v/>
      </c>
    </row>
    <row r="39" spans="1:16" ht="18" customHeight="1">
      <c r="A39" s="178"/>
      <c r="B39" s="35" t="s">
        <v>214</v>
      </c>
      <c r="C39" s="31"/>
      <c r="D39" s="31">
        <f ca="1">2.6*OFFSET(D$112,MATCH($N$1,$C$112:$C$113,0)-1,0)</f>
        <v>2.6</v>
      </c>
      <c r="E39" s="31">
        <f ca="1">4.2*OFFSET(E$112,MATCH($N$1,$C$112:$C$113,0)-1,0)</f>
        <v>4.2</v>
      </c>
      <c r="F39" s="31">
        <f ca="1">9*OFFSET(F$112,MATCH($N$1,$C$112:$C$113,0)-1,0)</f>
        <v>9</v>
      </c>
      <c r="G39" s="31">
        <f ca="1">4.7*OFFSET(G$112,MATCH($N$1,$C$112:$C$113,0)-1,0)</f>
        <v>4.7</v>
      </c>
      <c r="H39" s="31">
        <f ca="1">4.9*OFFSET(H$112,MATCH($N$1,$C$112:$C$113,0)-1,0)</f>
        <v>4.9000000000000004</v>
      </c>
      <c r="I39" s="31">
        <f ca="1">4.4*OFFSET(I$112,MATCH($N$1,$C$112:$C$113,0)-1,0)</f>
        <v>4.4000000000000004</v>
      </c>
      <c r="J39" s="31">
        <f ca="1">4.2*OFFSET(J$112,MATCH($N$1,$C$112:$C$113,0)-1,0)</f>
        <v>4.2</v>
      </c>
      <c r="K39" s="31">
        <f ca="1">2.5*OFFSET(K$112,MATCH($N$1,$C$112:$C$113,0)-1,0)</f>
        <v>2.5</v>
      </c>
      <c r="L39" s="31">
        <f ca="1">1.6*OFFSET(L$112,MATCH($N$1,$C$112:$C$113,0)-1,0)</f>
        <v>1.6</v>
      </c>
      <c r="M39" s="31">
        <f ca="1">0.9*OFFSET(M$112,MATCH($N$1,$C$112:$C$113,0)-1,0)</f>
        <v>0.9</v>
      </c>
      <c r="N39" s="31"/>
      <c r="O39" s="28" t="str">
        <f t="shared" si="0"/>
        <v/>
      </c>
      <c r="P39" s="28" t="str">
        <f t="shared" si="1"/>
        <v/>
      </c>
    </row>
    <row r="40" spans="1:16" ht="18" customHeight="1">
      <c r="A40" s="178"/>
      <c r="B40" s="35" t="s">
        <v>215</v>
      </c>
      <c r="C40" s="31"/>
      <c r="D40" s="31">
        <f ca="1">0.8*OFFSET(D$112,MATCH($N$1,$C$112:$C$113,0)-1,0)</f>
        <v>0.8</v>
      </c>
      <c r="E40" s="31">
        <f ca="1">0.2*OFFSET(E$112,MATCH($N$1,$C$112:$C$113,0)-1,0)</f>
        <v>0.2</v>
      </c>
      <c r="F40" s="31">
        <f ca="1">0.7*OFFSET(F$112,MATCH($N$1,$C$112:$C$113,0)-1,0)</f>
        <v>0.7</v>
      </c>
      <c r="G40" s="31">
        <f ca="1">3.3*OFFSET(G$112,MATCH($N$1,$C$112:$C$113,0)-1,0)</f>
        <v>3.3</v>
      </c>
      <c r="H40" s="31">
        <f ca="1">4.1*OFFSET(H$112,MATCH($N$1,$C$112:$C$113,0)-1,0)</f>
        <v>4.0999999999999996</v>
      </c>
      <c r="I40" s="31">
        <f ca="1">3.6*OFFSET(I$112,MATCH($N$1,$C$112:$C$113,0)-1,0)</f>
        <v>3.6</v>
      </c>
      <c r="J40" s="31">
        <f ca="1">1.7*OFFSET(J$112,MATCH($N$1,$C$112:$C$113,0)-1,0)</f>
        <v>1.7</v>
      </c>
      <c r="K40" s="31">
        <f ca="1">1.3*OFFSET(K$112,MATCH($N$1,$C$112:$C$113,0)-1,0)</f>
        <v>1.3</v>
      </c>
      <c r="L40" s="31">
        <f ca="1">1*OFFSET(L$112,MATCH($N$1,$C$112:$C$113,0)-1,0)</f>
        <v>1</v>
      </c>
      <c r="M40" s="31">
        <f ca="1">0.4*OFFSET(M$112,MATCH($N$1,$C$112:$C$113,0)-1,0)</f>
        <v>0.4</v>
      </c>
      <c r="N40" s="31"/>
      <c r="O40" s="28" t="str">
        <f t="shared" si="0"/>
        <v/>
      </c>
      <c r="P40" s="28" t="str">
        <f t="shared" si="1"/>
        <v/>
      </c>
    </row>
    <row r="41" spans="1:16" ht="18" customHeight="1" thickBot="1">
      <c r="A41" s="179"/>
      <c r="B41" s="42" t="s">
        <v>216</v>
      </c>
      <c r="C41" s="43"/>
      <c r="D41" s="43">
        <f ca="1">18.1*OFFSET(D$112,MATCH($N$1,$C$112:$C$113,0)-1,0)</f>
        <v>18.100000000000001</v>
      </c>
      <c r="E41" s="43">
        <f ca="1">53.9*OFFSET(E$112,MATCH($N$1,$C$112:$C$113,0)-1,0)</f>
        <v>53.9</v>
      </c>
      <c r="F41" s="43">
        <f ca="1">72.6*OFFSET(F$112,MATCH($N$1,$C$112:$C$113,0)-1,0)</f>
        <v>72.599999999999994</v>
      </c>
      <c r="G41" s="43">
        <f ca="1">22.5*OFFSET(G$112,MATCH($N$1,$C$112:$C$113,0)-1,0)</f>
        <v>22.5</v>
      </c>
      <c r="H41" s="43">
        <f ca="1">54.5*OFFSET(H$112,MATCH($N$1,$C$112:$C$113,0)-1,0)</f>
        <v>54.5</v>
      </c>
      <c r="I41" s="43">
        <f ca="1">28.5*OFFSET(I$112,MATCH($N$1,$C$112:$C$113,0)-1,0)</f>
        <v>28.5</v>
      </c>
      <c r="J41" s="43">
        <f ca="1">39.9*OFFSET(J$112,MATCH($N$1,$C$112:$C$113,0)-1,0)</f>
        <v>39.9</v>
      </c>
      <c r="K41" s="43">
        <f ca="1">31.7*OFFSET(K$112,MATCH($N$1,$C$112:$C$113,0)-1,0)</f>
        <v>31.7</v>
      </c>
      <c r="L41" s="43">
        <f ca="1">-5.8*OFFSET(L$112,MATCH($N$1,$C$112:$C$113,0)-1,0)</f>
        <v>-5.8</v>
      </c>
      <c r="M41" s="43">
        <f ca="1">31.8*OFFSET(M$112,MATCH($N$1,$C$112:$C$113,0)-1,0)</f>
        <v>31.8</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163</v>
      </c>
      <c r="F46" s="90" t="s">
        <v>163</v>
      </c>
      <c r="G46" s="90" t="s">
        <v>163</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WOS nephrops over 250kW</v>
      </c>
      <c r="B48" s="202"/>
      <c r="C48" s="92"/>
      <c r="D48" s="92"/>
      <c r="E48" s="92"/>
      <c r="F48" s="92"/>
      <c r="G48" s="92"/>
      <c r="H48" s="202"/>
      <c r="I48" s="202"/>
      <c r="J48" s="202"/>
      <c r="K48" s="92" t="str">
        <f>$B24&amp;CHAR(10)&amp;$A$1</f>
        <v>Operating profit per kW day at sea (£)
WOS nephrops over 250kW</v>
      </c>
      <c r="L48" s="202"/>
      <c r="M48" s="202"/>
      <c r="N48" s="202"/>
      <c r="O48" s="202"/>
      <c r="P48" s="202"/>
    </row>
    <row r="49" spans="1:11" s="80" customFormat="1">
      <c r="A49" s="92" t="str">
        <f>$B22&amp;CHAR(10)&amp;$A$1</f>
        <v>Fishing income per kW day at sea (£)
WOS nephrops over 250kW</v>
      </c>
      <c r="B49" s="202"/>
      <c r="C49" s="202"/>
      <c r="D49" s="202"/>
      <c r="E49" s="202"/>
      <c r="F49" s="202"/>
      <c r="G49" s="202"/>
      <c r="H49" s="202"/>
      <c r="I49" s="202"/>
      <c r="J49" s="202"/>
      <c r="K49" s="202"/>
    </row>
    <row r="50" spans="1:11" s="80" customFormat="1">
      <c r="A50" s="92" t="str">
        <f>$B20&amp;CHAR(10)&amp;$A$1</f>
        <v>Average price per tonne landed (£)
WOS nephrops over 250kW</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WOS nephrops over 250kW</v>
      </c>
      <c r="C62" s="202"/>
      <c r="D62" s="202"/>
      <c r="E62" s="202"/>
      <c r="F62" s="92" t="str">
        <f>$B20&amp;CHAR(10)&amp;$A$1</f>
        <v>Average price per tonne landed (£)
WOS nephrops over 250kW</v>
      </c>
      <c r="G62" s="202"/>
      <c r="H62" s="202"/>
      <c r="I62" s="202"/>
      <c r="J62" s="202"/>
      <c r="K62" s="92" t="str">
        <f>"Average annual operating profit per vessel (£'000)"&amp;CHAR(10)&amp;$A$1</f>
        <v>Average annual operating profit per vessel (£'000)
WOS nephrops over 250kW</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WOS nephrops over 250kW</v>
      </c>
      <c r="F76" s="92" t="str">
        <f>"Top 5 landed species by value in "&amp;A77&amp;CHAR(10)&amp;A1</f>
        <v>Top 5 landed species by value in 2019
WOS nephrops over 250kW</v>
      </c>
    </row>
    <row r="77" spans="1:11" s="92" customFormat="1">
      <c r="A77" s="92">
        <v>2019</v>
      </c>
      <c r="B77" s="92" t="s">
        <v>621</v>
      </c>
      <c r="C77" s="93">
        <v>0.66087341091250196</v>
      </c>
      <c r="D77" s="94">
        <v>12153634</v>
      </c>
      <c r="G77" s="92" t="s">
        <v>622</v>
      </c>
      <c r="H77" s="93">
        <v>0.78797196729224994</v>
      </c>
      <c r="I77" s="94">
        <v>12153634</v>
      </c>
      <c r="K77" s="92" t="s">
        <v>230</v>
      </c>
    </row>
    <row r="78" spans="1:11" s="92" customFormat="1">
      <c r="B78" s="92" t="s">
        <v>623</v>
      </c>
      <c r="C78" s="93">
        <v>0.15513734679351313</v>
      </c>
      <c r="D78" s="94">
        <v>1692097</v>
      </c>
      <c r="G78" s="92" t="s">
        <v>624</v>
      </c>
      <c r="H78" s="93">
        <v>8.5151813399829357E-2</v>
      </c>
      <c r="I78" s="94">
        <v>553960</v>
      </c>
    </row>
    <row r="79" spans="1:11" s="92" customFormat="1">
      <c r="B79" s="92" t="s">
        <v>625</v>
      </c>
      <c r="C79" s="93">
        <v>4.5238617225241681E-2</v>
      </c>
      <c r="D79" s="94">
        <v>553960</v>
      </c>
      <c r="G79" s="92" t="s">
        <v>626</v>
      </c>
      <c r="H79" s="93">
        <v>4.3752480823634976E-2</v>
      </c>
      <c r="I79" s="94">
        <v>3050596</v>
      </c>
    </row>
    <row r="80" spans="1:11" s="92" customFormat="1">
      <c r="B80" s="92" t="s">
        <v>627</v>
      </c>
      <c r="C80" s="93">
        <v>3.7058865572143156E-2</v>
      </c>
      <c r="D80" s="94">
        <v>3050596</v>
      </c>
      <c r="G80" s="92" t="s">
        <v>628</v>
      </c>
      <c r="H80" s="93">
        <v>1.4573490373868729E-2</v>
      </c>
      <c r="I80" s="94">
        <v>1692097</v>
      </c>
    </row>
    <row r="81" spans="1:19" s="92" customFormat="1">
      <c r="B81" s="92" t="s">
        <v>436</v>
      </c>
      <c r="C81" s="93">
        <v>1.6253361191608674E-2</v>
      </c>
      <c r="D81" s="94">
        <v>11115023</v>
      </c>
      <c r="G81" s="92" t="s">
        <v>629</v>
      </c>
      <c r="H81" s="93">
        <v>1.2050043721408363E-2</v>
      </c>
      <c r="I81" s="94">
        <v>3689192</v>
      </c>
    </row>
    <row r="82" spans="1:19" s="92" customFormat="1">
      <c r="B82" s="92" t="s">
        <v>630</v>
      </c>
      <c r="C82" s="93">
        <v>8.5438398304991447E-2</v>
      </c>
      <c r="D82" s="94">
        <v>5920853</v>
      </c>
      <c r="G82" s="92" t="s">
        <v>631</v>
      </c>
      <c r="H82" s="93">
        <v>5.6500204389008712E-2</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160</v>
      </c>
      <c r="D92" s="98">
        <v>0.9337323042581186</v>
      </c>
      <c r="E92" s="98">
        <v>0.91943309379649329</v>
      </c>
      <c r="F92" s="98">
        <v>0.93126832345099486</v>
      </c>
      <c r="G92" s="98">
        <v>0.91807383408086729</v>
      </c>
      <c r="H92" s="98">
        <v>0.9174952671797485</v>
      </c>
      <c r="I92" s="98">
        <v>0.90393682729957858</v>
      </c>
      <c r="J92" s="98">
        <v>0.88710845209298883</v>
      </c>
      <c r="K92" s="98">
        <v>0.91508897991877314</v>
      </c>
      <c r="L92" s="98">
        <v>0.78797196729224994</v>
      </c>
      <c r="M92" s="98">
        <v>0.92325887959707353</v>
      </c>
      <c r="O92" s="92">
        <v>12153634</v>
      </c>
    </row>
    <row r="93" spans="1:19" s="92" customFormat="1" hidden="1">
      <c r="B93" s="92">
        <v>2</v>
      </c>
      <c r="C93" s="92" t="s">
        <v>169</v>
      </c>
      <c r="D93" s="98"/>
      <c r="E93" s="98"/>
      <c r="F93" s="98"/>
      <c r="G93" s="98">
        <v>8.671942962357633E-3</v>
      </c>
      <c r="H93" s="98"/>
      <c r="I93" s="98"/>
      <c r="J93" s="98">
        <v>1.6611758190301067E-2</v>
      </c>
      <c r="K93" s="98">
        <v>1.5907261911607871E-2</v>
      </c>
      <c r="L93" s="98">
        <v>8.5151813399829357E-2</v>
      </c>
      <c r="M93" s="98">
        <v>2.0362934195954949E-2</v>
      </c>
      <c r="O93" s="92">
        <v>553960</v>
      </c>
    </row>
    <row r="94" spans="1:19" s="92" customFormat="1" hidden="1">
      <c r="B94" s="92">
        <v>3</v>
      </c>
      <c r="C94" s="92" t="s">
        <v>161</v>
      </c>
      <c r="D94" s="98">
        <v>1.3344165971377307E-2</v>
      </c>
      <c r="E94" s="98">
        <v>1.274600107218702E-2</v>
      </c>
      <c r="F94" s="98">
        <v>1.5107256187754357E-2</v>
      </c>
      <c r="G94" s="98">
        <v>1.5684346272758675E-2</v>
      </c>
      <c r="H94" s="98">
        <v>3.0322621399217063E-2</v>
      </c>
      <c r="I94" s="98">
        <v>2.9032363209429996E-2</v>
      </c>
      <c r="J94" s="98">
        <v>2.4396918433128429E-2</v>
      </c>
      <c r="K94" s="98">
        <v>3.1632530033876331E-2</v>
      </c>
      <c r="L94" s="98">
        <v>4.3752480823634976E-2</v>
      </c>
      <c r="M94" s="98">
        <v>1.6789597080616961E-2</v>
      </c>
      <c r="O94" s="92">
        <v>3050596</v>
      </c>
    </row>
    <row r="95" spans="1:19" s="92" customFormat="1" hidden="1">
      <c r="B95" s="92">
        <v>4</v>
      </c>
      <c r="C95" s="92" t="s">
        <v>328</v>
      </c>
      <c r="D95" s="98">
        <v>1.1554941098813307E-2</v>
      </c>
      <c r="E95" s="98">
        <v>2.8373227308299005E-2</v>
      </c>
      <c r="F95" s="98">
        <v>1.8609151696166691E-2</v>
      </c>
      <c r="G95" s="98">
        <v>2.6568068637269692E-2</v>
      </c>
      <c r="H95" s="98">
        <v>1.9552337169447306E-2</v>
      </c>
      <c r="I95" s="98">
        <v>2.7197899656840215E-2</v>
      </c>
      <c r="J95" s="98">
        <v>2.1176848875785054E-2</v>
      </c>
      <c r="K95" s="98"/>
      <c r="L95" s="98">
        <v>1.4573490373868729E-2</v>
      </c>
      <c r="M95" s="98">
        <v>1.9315628691117592E-2</v>
      </c>
      <c r="O95" s="92">
        <v>1692097</v>
      </c>
    </row>
    <row r="96" spans="1:19" s="92" customFormat="1" hidden="1">
      <c r="B96" s="92">
        <v>5</v>
      </c>
      <c r="C96" s="92" t="s">
        <v>241</v>
      </c>
      <c r="D96" s="98"/>
      <c r="E96" s="98"/>
      <c r="F96" s="98"/>
      <c r="G96" s="98"/>
      <c r="H96" s="98"/>
      <c r="I96" s="98">
        <v>3.571773980461687E-3</v>
      </c>
      <c r="J96" s="98"/>
      <c r="K96" s="98"/>
      <c r="L96" s="98">
        <v>1.2050043721408363E-2</v>
      </c>
      <c r="M96" s="98"/>
      <c r="O96" s="92">
        <v>3689192</v>
      </c>
    </row>
    <row r="97" spans="1:15" s="92" customFormat="1" hidden="1">
      <c r="B97" s="92">
        <v>6</v>
      </c>
      <c r="C97" s="92" t="s">
        <v>157</v>
      </c>
      <c r="D97" s="98"/>
      <c r="E97" s="98">
        <v>1.1051857190903829E-2</v>
      </c>
      <c r="F97" s="98">
        <v>1.1591821444137743E-2</v>
      </c>
      <c r="G97" s="98">
        <v>9.7292073950730786E-3</v>
      </c>
      <c r="H97" s="98">
        <v>9.0728109939999333E-3</v>
      </c>
      <c r="I97" s="98">
        <v>1.2197501906653993E-2</v>
      </c>
      <c r="J97" s="98">
        <v>1.6353345325845387E-2</v>
      </c>
      <c r="K97" s="98">
        <v>1.289433313588809E-2</v>
      </c>
      <c r="L97" s="98"/>
      <c r="M97" s="98">
        <v>6.5026945896930642E-3</v>
      </c>
      <c r="O97" s="92">
        <v>11115023</v>
      </c>
    </row>
    <row r="98" spans="1:15" s="92" customFormat="1" hidden="1">
      <c r="B98" s="92">
        <v>7</v>
      </c>
      <c r="C98" s="92" t="s">
        <v>172</v>
      </c>
      <c r="D98" s="98"/>
      <c r="E98" s="98"/>
      <c r="F98" s="98"/>
      <c r="G98" s="98"/>
      <c r="H98" s="98">
        <v>3.7888634672335413E-3</v>
      </c>
      <c r="I98" s="98"/>
      <c r="J98" s="98"/>
      <c r="K98" s="98">
        <v>5.1791535014406075E-3</v>
      </c>
      <c r="L98" s="98"/>
      <c r="M98" s="98"/>
      <c r="O98" s="92">
        <v>2480382</v>
      </c>
    </row>
    <row r="99" spans="1:15" s="92" customFormat="1" hidden="1">
      <c r="B99" s="92">
        <v>8</v>
      </c>
      <c r="C99" s="92" t="s">
        <v>329</v>
      </c>
      <c r="D99" s="98"/>
      <c r="E99" s="98"/>
      <c r="F99" s="98">
        <v>2.9408840139693838E-3</v>
      </c>
      <c r="G99" s="98"/>
      <c r="H99" s="98"/>
      <c r="I99" s="98"/>
      <c r="J99" s="98"/>
      <c r="K99" s="98"/>
      <c r="L99" s="98"/>
      <c r="M99" s="98"/>
      <c r="O99" s="92">
        <v>7434864</v>
      </c>
    </row>
    <row r="100" spans="1:15" s="92" customFormat="1" hidden="1">
      <c r="B100" s="92">
        <v>9</v>
      </c>
      <c r="C100" s="92" t="s">
        <v>365</v>
      </c>
      <c r="D100" s="98">
        <v>8.1114223845750125E-3</v>
      </c>
      <c r="E100" s="98">
        <v>9.4313805855933755E-3</v>
      </c>
      <c r="F100" s="98"/>
      <c r="G100" s="98"/>
      <c r="H100" s="98"/>
      <c r="I100" s="98"/>
      <c r="J100" s="98"/>
      <c r="K100" s="98"/>
      <c r="L100" s="98"/>
      <c r="M100" s="98"/>
      <c r="O100" s="92">
        <v>8497745</v>
      </c>
    </row>
    <row r="101" spans="1:15" s="92" customFormat="1" hidden="1">
      <c r="B101" s="92">
        <v>10</v>
      </c>
      <c r="C101" s="92" t="s">
        <v>310</v>
      </c>
      <c r="D101" s="98">
        <v>5.7304473336325813E-3</v>
      </c>
      <c r="E101" s="98"/>
      <c r="F101" s="98"/>
      <c r="G101" s="98"/>
      <c r="H101" s="98"/>
      <c r="I101" s="98"/>
      <c r="J101" s="98"/>
      <c r="K101" s="98"/>
      <c r="L101" s="98"/>
      <c r="M101" s="98"/>
      <c r="O101" s="92">
        <v>14393110</v>
      </c>
    </row>
    <row r="102" spans="1:15" s="92" customFormat="1" hidden="1">
      <c r="B102" s="92">
        <v>11</v>
      </c>
      <c r="C102" s="92" t="s">
        <v>245</v>
      </c>
      <c r="D102" s="98">
        <v>2.7526718953483218E-2</v>
      </c>
      <c r="E102" s="98">
        <v>1.8964440046523447E-2</v>
      </c>
      <c r="F102" s="98">
        <v>2.0482563206976979E-2</v>
      </c>
      <c r="G102" s="98">
        <v>2.1272600651673659E-2</v>
      </c>
      <c r="H102" s="98">
        <v>1.9768099790353707E-2</v>
      </c>
      <c r="I102" s="98">
        <v>2.40636339470355E-2</v>
      </c>
      <c r="J102" s="98">
        <v>3.4352677081951215E-2</v>
      </c>
      <c r="K102" s="98">
        <v>1.9297741498413921E-2</v>
      </c>
      <c r="L102" s="98">
        <v>5.650020438900865E-2</v>
      </c>
      <c r="M102" s="98">
        <v>1.3770265845543906E-2</v>
      </c>
      <c r="O102" s="92">
        <v>5920853</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12</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6</v>
      </c>
      <c r="D120" s="54">
        <v>13</v>
      </c>
      <c r="E120" s="54">
        <v>6</v>
      </c>
      <c r="F120" s="55">
        <v>25</v>
      </c>
    </row>
    <row r="121" spans="1:15" ht="18" customHeight="1">
      <c r="A121" s="173" t="s">
        <v>191</v>
      </c>
      <c r="B121" s="33" t="s">
        <v>192</v>
      </c>
      <c r="C121" s="56">
        <v>18.014999389648438</v>
      </c>
      <c r="D121" s="56">
        <v>17.728461192204403</v>
      </c>
      <c r="E121" s="56">
        <v>16.581666946411133</v>
      </c>
      <c r="F121" s="57">
        <v>17.521999359130859</v>
      </c>
      <c r="G121" s="206"/>
      <c r="H121" s="206"/>
      <c r="I121" s="206"/>
      <c r="J121" s="206"/>
      <c r="K121" s="206"/>
      <c r="L121" s="206"/>
      <c r="M121" s="206"/>
      <c r="N121" s="206"/>
      <c r="O121" s="206"/>
    </row>
    <row r="122" spans="1:15" ht="18" customHeight="1">
      <c r="A122" s="174"/>
      <c r="B122" s="35" t="s">
        <v>184</v>
      </c>
      <c r="C122" s="58">
        <v>385.33334350585938</v>
      </c>
      <c r="D122" s="58">
        <v>300.61537757286658</v>
      </c>
      <c r="E122" s="58">
        <v>282.83334350585938</v>
      </c>
      <c r="F122" s="59">
        <v>316.67999267578125</v>
      </c>
      <c r="G122" s="206"/>
      <c r="H122" s="206"/>
      <c r="I122" s="206"/>
      <c r="J122" s="206"/>
      <c r="K122" s="206"/>
      <c r="L122" s="206"/>
      <c r="M122" s="206"/>
      <c r="N122" s="206"/>
      <c r="O122" s="206"/>
    </row>
    <row r="123" spans="1:15" ht="18" customHeight="1">
      <c r="A123" s="174"/>
      <c r="B123" s="35" t="s">
        <v>185</v>
      </c>
      <c r="C123" s="58">
        <v>105.33333587646484</v>
      </c>
      <c r="D123" s="58">
        <v>87.000001173753006</v>
      </c>
      <c r="E123" s="58">
        <v>65.5</v>
      </c>
      <c r="F123" s="59">
        <v>86.239997863769531</v>
      </c>
      <c r="G123" s="206"/>
      <c r="H123" s="206"/>
      <c r="I123" s="206"/>
      <c r="J123" s="206"/>
      <c r="K123" s="206"/>
      <c r="L123" s="206"/>
      <c r="M123" s="206"/>
      <c r="N123" s="206"/>
      <c r="O123" s="206"/>
    </row>
    <row r="124" spans="1:15" ht="18" customHeight="1">
      <c r="A124" s="174"/>
      <c r="B124" s="35" t="s">
        <v>186</v>
      </c>
      <c r="C124" s="58">
        <v>286.97381591796875</v>
      </c>
      <c r="D124" s="58">
        <v>241.95885760967548</v>
      </c>
      <c r="E124" s="58">
        <v>222.79736328125</v>
      </c>
      <c r="F124" s="59">
        <v>248.1636962890625</v>
      </c>
      <c r="G124" s="206"/>
      <c r="H124" s="206"/>
      <c r="I124" s="206"/>
      <c r="J124" s="206"/>
      <c r="K124" s="206"/>
      <c r="L124" s="206"/>
      <c r="M124" s="206"/>
      <c r="N124" s="206"/>
      <c r="O124" s="206"/>
    </row>
    <row r="125" spans="1:15" ht="18" customHeight="1">
      <c r="A125" s="174"/>
      <c r="B125" s="35" t="s">
        <v>187</v>
      </c>
      <c r="C125" s="31">
        <v>310.96026611328125</v>
      </c>
      <c r="D125" s="31">
        <v>102.34526766263522</v>
      </c>
      <c r="E125" s="31">
        <v>69.194831848144531</v>
      </c>
      <c r="F125" s="60">
        <v>144.45675659179688</v>
      </c>
      <c r="G125" s="206"/>
      <c r="H125" s="206"/>
      <c r="I125" s="206"/>
      <c r="J125" s="206"/>
      <c r="K125" s="206"/>
      <c r="L125" s="206"/>
      <c r="M125" s="206"/>
      <c r="N125" s="206"/>
      <c r="O125" s="206"/>
    </row>
    <row r="126" spans="1:15" ht="18" customHeight="1">
      <c r="A126" s="174"/>
      <c r="B126" s="35" t="s">
        <v>193</v>
      </c>
      <c r="C126" s="31">
        <f ca="1">851.7556875*OFFSET($L$112,MATCH($N$1,$C$112:$C$113,0)-1,0)</f>
        <v>851.75568750000002</v>
      </c>
      <c r="D126" s="31">
        <f ca="1">305.740233173077*OFFSET($L$112,MATCH($N$1,$C$112:$C$113,0)-1,0)</f>
        <v>305.740233173077</v>
      </c>
      <c r="E126" s="31">
        <f ca="1">216.145484375*OFFSET($L$112,MATCH($N$1,$C$112:$C$113,0)-1,0)</f>
        <v>216.145484375</v>
      </c>
      <c r="F126" s="60">
        <f ca="1">415.28121875*OFFSET($L$112,MATCH($N$1,$C$112:$C$113,0)-1,0)</f>
        <v>415.28121874999999</v>
      </c>
      <c r="G126" s="206"/>
      <c r="H126" s="206"/>
      <c r="I126" s="206"/>
      <c r="J126" s="206"/>
      <c r="K126" s="206"/>
      <c r="L126" s="206"/>
      <c r="M126" s="206"/>
      <c r="N126" s="206"/>
      <c r="O126" s="206"/>
    </row>
    <row r="127" spans="1:15" ht="18" customHeight="1">
      <c r="A127" s="174"/>
      <c r="B127" s="35" t="s">
        <v>189</v>
      </c>
      <c r="C127" s="58">
        <v>200.83332824707031</v>
      </c>
      <c r="D127" s="58">
        <v>171.53845801720252</v>
      </c>
      <c r="E127" s="58">
        <v>167.16667175292969</v>
      </c>
      <c r="F127" s="59">
        <v>177.52000427246094</v>
      </c>
      <c r="G127" s="206"/>
      <c r="H127" s="206"/>
      <c r="I127" s="206"/>
      <c r="J127" s="206"/>
      <c r="K127" s="206"/>
      <c r="L127" s="206"/>
      <c r="M127" s="206"/>
      <c r="N127" s="206"/>
      <c r="O127" s="206"/>
    </row>
    <row r="128" spans="1:15" ht="18" customHeight="1">
      <c r="A128" s="174"/>
      <c r="B128" s="35" t="s">
        <v>194</v>
      </c>
      <c r="C128" s="58">
        <v>32.166667938232422</v>
      </c>
      <c r="D128" s="58">
        <v>185.9230698805589</v>
      </c>
      <c r="E128" s="58">
        <v>41.333332061767578</v>
      </c>
      <c r="F128" s="59">
        <v>114.31999969482422</v>
      </c>
      <c r="G128" s="206"/>
      <c r="H128" s="206"/>
      <c r="I128" s="206"/>
      <c r="J128" s="206"/>
      <c r="K128" s="206"/>
      <c r="L128" s="206"/>
      <c r="M128" s="206"/>
      <c r="N128" s="206"/>
      <c r="O128" s="206"/>
    </row>
    <row r="129" spans="1:15" ht="18" customHeight="1">
      <c r="A129" s="174"/>
      <c r="B129" s="35" t="s">
        <v>195</v>
      </c>
      <c r="C129" s="61">
        <v>1.5483498573303223</v>
      </c>
      <c r="D129" s="61">
        <v>0.59663161745555426</v>
      </c>
      <c r="E129" s="61">
        <v>0.41392719745635986</v>
      </c>
      <c r="F129" s="62">
        <v>0.81374919414520264</v>
      </c>
      <c r="G129" s="206"/>
      <c r="H129" s="206"/>
      <c r="I129" s="206"/>
      <c r="J129" s="206"/>
      <c r="K129" s="206"/>
      <c r="L129" s="206"/>
      <c r="M129" s="206"/>
      <c r="N129" s="206"/>
      <c r="O129" s="206"/>
    </row>
    <row r="130" spans="1:15" ht="18" customHeight="1">
      <c r="A130" s="175"/>
      <c r="B130" s="37" t="s">
        <v>196</v>
      </c>
      <c r="C130" s="38">
        <f ca="1">2739.11422236084*OFFSET($L$112,MATCH($N$1,$C$112:$C$113,0)-1,0)</f>
        <v>2739.1142223608399</v>
      </c>
      <c r="D130" s="38">
        <f ca="1">2987.34118494761*OFFSET($L$112,MATCH($N$1,$C$112:$C$113,0)-1,0)</f>
        <v>2987.3411849476101</v>
      </c>
      <c r="E130" s="38">
        <f ca="1">3123.72295158336*OFFSET($L$112,MATCH($N$1,$C$112:$C$113,0)-1,0)</f>
        <v>3123.7229515833601</v>
      </c>
      <c r="F130" s="63">
        <f ca="1">2875*OFFSET($L$112,MATCH($N$1,$C$112:$C$113,0)-1,0)</f>
        <v>2875</v>
      </c>
      <c r="G130" s="206"/>
      <c r="H130" s="206"/>
      <c r="I130" s="206"/>
      <c r="J130" s="206"/>
      <c r="K130" s="206"/>
      <c r="L130" s="206"/>
      <c r="M130" s="206"/>
      <c r="N130" s="206"/>
      <c r="O130" s="206"/>
    </row>
    <row r="131" spans="1:15" ht="18" customHeight="1">
      <c r="A131" s="184" t="s">
        <v>197</v>
      </c>
      <c r="B131" s="33" t="s">
        <v>198</v>
      </c>
      <c r="C131" s="64">
        <v>3.9563047263247659</v>
      </c>
      <c r="D131" s="64">
        <v>1.9765052416869997</v>
      </c>
      <c r="E131" s="64">
        <v>1.4678581215134605</v>
      </c>
      <c r="F131" s="65">
        <v>2.5297418255753339</v>
      </c>
      <c r="G131" s="206"/>
      <c r="H131" s="206"/>
      <c r="I131" s="206"/>
      <c r="J131" s="206"/>
      <c r="K131" s="206"/>
      <c r="L131" s="206"/>
      <c r="M131" s="206"/>
      <c r="N131" s="206"/>
      <c r="O131" s="206"/>
    </row>
    <row r="132" spans="1:15" ht="18" customHeight="1">
      <c r="A132" s="185"/>
      <c r="B132" s="35" t="s">
        <v>199</v>
      </c>
      <c r="C132" s="61">
        <f ca="1">10.8367705438696*OFFSET($L$112,MATCH($N$1,$C$112:$C$113,0)-1,0)</f>
        <v>10.8367705438696</v>
      </c>
      <c r="D132" s="61">
        <f ca="1">5.9044955107564*OFFSET($L$112,MATCH($N$1,$C$112:$C$113,0)-1,0)</f>
        <v>5.9044955107563997</v>
      </c>
      <c r="E132" s="61">
        <f ca="1">4.58518210383963*OFFSET($L$112,MATCH($N$1,$C$112:$C$113,0)-1,0)</f>
        <v>4.5851821038396299</v>
      </c>
      <c r="F132" s="62">
        <f ca="1">7.27244812381058*OFFSET($L$112,MATCH($N$1,$C$112:$C$113,0)-1,0)</f>
        <v>7.2724481238105803</v>
      </c>
      <c r="G132" s="206"/>
      <c r="H132" s="206"/>
      <c r="I132" s="206"/>
      <c r="J132" s="206"/>
      <c r="K132" s="206"/>
      <c r="L132" s="206"/>
      <c r="M132" s="206"/>
      <c r="N132" s="206"/>
      <c r="O132" s="206"/>
    </row>
    <row r="133" spans="1:15" ht="18" customHeight="1">
      <c r="A133" s="185"/>
      <c r="B133" s="35" t="s">
        <v>154</v>
      </c>
      <c r="C133" s="61">
        <f ca="1">8.60402644804813*OFFSET($L$112,MATCH($N$1,$C$112:$C$113,0)-1,0)</f>
        <v>8.6040264480481294</v>
      </c>
      <c r="D133" s="61">
        <f ca="1">5.46457472415148*OFFSET($L$112,MATCH($N$1,$C$112:$C$113,0)-1,0)</f>
        <v>5.4645747241514799</v>
      </c>
      <c r="E133" s="61">
        <f ca="1">4.62237700315467*OFFSET($L$112,MATCH($N$1,$C$112:$C$113,0)-1,0)</f>
        <v>4.6223770031546696</v>
      </c>
      <c r="F133" s="62">
        <f ca="1">6.33480961742892*OFFSET($L$112,MATCH($N$1,$C$112:$C$113,0)-1,0)</f>
        <v>6.3348096174289203</v>
      </c>
      <c r="G133" s="206"/>
      <c r="H133" s="206"/>
      <c r="I133" s="206"/>
      <c r="J133" s="206"/>
      <c r="K133" s="206"/>
      <c r="L133" s="206"/>
      <c r="M133" s="206"/>
      <c r="N133" s="206"/>
      <c r="O133" s="206"/>
    </row>
    <row r="134" spans="1:15" ht="18" customHeight="1">
      <c r="A134" s="186"/>
      <c r="B134" s="37" t="s">
        <v>155</v>
      </c>
      <c r="C134" s="66">
        <f ca="1">2.23274409582144*OFFSET($L$112,MATCH($N$1,$C$112:$C$113,0)-1,0)</f>
        <v>2.23274409582144</v>
      </c>
      <c r="D134" s="66">
        <f ca="1">0.439920786604925*OFFSET($L$112,MATCH($N$1,$C$112:$C$113,0)-1,0)</f>
        <v>0.43992078660492501</v>
      </c>
      <c r="E134" s="66">
        <f ca="1">-0.037194899315039*OFFSET($L$112,MATCH($N$1,$C$112:$C$113,0)-1,0)</f>
        <v>-3.7194899315038998E-2</v>
      </c>
      <c r="F134" s="67">
        <f ca="1">0.937638506381657*OFFSET($L$112,MATCH($N$1,$C$112:$C$113,0)-1,0)</f>
        <v>0.93763850638165702</v>
      </c>
      <c r="G134" s="206"/>
      <c r="H134" s="206"/>
      <c r="I134" s="206"/>
      <c r="J134" s="206"/>
      <c r="K134" s="206"/>
      <c r="L134" s="206"/>
      <c r="M134" s="206"/>
      <c r="N134" s="206"/>
      <c r="O134" s="206"/>
    </row>
    <row r="135" spans="1:15" ht="18" customHeight="1">
      <c r="A135" s="187" t="s">
        <v>254</v>
      </c>
      <c r="B135" s="35" t="s">
        <v>255</v>
      </c>
      <c r="C135" s="68">
        <f ca="1">80.96553125*OFFSET($L$112,MATCH($N$1,$C$112:$C$113,0)-1,0)</f>
        <v>80.965531249999998</v>
      </c>
      <c r="D135" s="68">
        <f ca="1">69.2762067307692*OFFSET($L$112,MATCH($N$1,$C$112:$C$113,0)-1,0)</f>
        <v>69.276206730769204</v>
      </c>
      <c r="E135" s="68">
        <f ca="1">66.8328984375*OFFSET($L$112,MATCH($N$1,$C$112:$C$113,0)-1,0)</f>
        <v>66.832898437500006</v>
      </c>
      <c r="F135" s="69">
        <f ca="1">71.49525*OFFSET($L$112,MATCH($N$1,$C$112:$C$113,0)-1,0)</f>
        <v>71.495249999999999</v>
      </c>
      <c r="G135" s="206"/>
      <c r="H135" s="206"/>
      <c r="I135" s="206"/>
      <c r="J135" s="206"/>
      <c r="K135" s="206"/>
      <c r="L135" s="206"/>
      <c r="M135" s="206"/>
      <c r="N135" s="206"/>
      <c r="O135" s="206"/>
    </row>
    <row r="136" spans="1:15" ht="18" customHeight="1">
      <c r="A136" s="188"/>
      <c r="B136" s="35" t="s">
        <v>256</v>
      </c>
      <c r="C136" s="30">
        <v>154399.99837851617</v>
      </c>
      <c r="D136" s="30">
        <v>132138.45652265157</v>
      </c>
      <c r="E136" s="30">
        <v>127300.00190997031</v>
      </c>
      <c r="F136" s="70">
        <v>136320</v>
      </c>
      <c r="G136" s="206"/>
      <c r="H136" s="206"/>
      <c r="I136" s="206"/>
      <c r="J136" s="206"/>
      <c r="K136" s="206"/>
      <c r="L136" s="206"/>
      <c r="M136" s="206"/>
      <c r="N136" s="206"/>
      <c r="O136" s="206"/>
    </row>
    <row r="137" spans="1:15" ht="18" customHeight="1">
      <c r="A137" s="188"/>
      <c r="B137" s="35" t="s">
        <v>257</v>
      </c>
      <c r="C137" s="30">
        <v>768.79669189453125</v>
      </c>
      <c r="D137" s="30">
        <v>770.3138879177767</v>
      </c>
      <c r="E137" s="30">
        <v>761.51544189453125</v>
      </c>
      <c r="F137" s="70">
        <v>767.9134521484375</v>
      </c>
      <c r="G137" s="206"/>
      <c r="H137" s="206"/>
      <c r="I137" s="206"/>
      <c r="J137" s="206"/>
      <c r="K137" s="206"/>
      <c r="L137" s="206"/>
      <c r="M137" s="206"/>
      <c r="N137" s="206"/>
      <c r="O137" s="206"/>
    </row>
    <row r="138" spans="1:15" ht="18" customHeight="1">
      <c r="A138" s="188"/>
      <c r="B138" s="35" t="s">
        <v>258</v>
      </c>
      <c r="C138" s="30">
        <f ca="1">403.147883654022*OFFSET($L$112,MATCH($N$1,$C$112:$C$113,0)-1,0)</f>
        <v>403.147883654022</v>
      </c>
      <c r="D138" s="30">
        <f ca="1">403.85233452327*OFFSET($L$112,MATCH($N$1,$C$112:$C$113,0)-1,0)</f>
        <v>403.85233452326997</v>
      </c>
      <c r="E138" s="30">
        <f ca="1">399.797984470722*OFFSET($L$112,MATCH($N$1,$C$112:$C$113,0)-1,0)</f>
        <v>399.79798447072199</v>
      </c>
      <c r="F138" s="70">
        <f ca="1">402.744751460617*OFFSET($L$112,MATCH($N$1,$C$112:$C$113,0)-1,0)</f>
        <v>402.74475146061701</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260.372594421773*OFFSET($L$112,MATCH($N$1,$C$112:$C$113,0)-1,0)</f>
        <v>260.37259442177299</v>
      </c>
      <c r="D139" s="30">
        <f ca="1">676.887249531919*OFFSET($L$112,MATCH($N$1,$C$112:$C$113,0)-1,0)</f>
        <v>676.887249531919</v>
      </c>
      <c r="E139" s="30">
        <f ca="1">965.865464984032*OFFSET($L$112,MATCH($N$1,$C$112:$C$113,0)-1,0)</f>
        <v>965.86546498403197</v>
      </c>
      <c r="F139" s="70">
        <f ca="1">494.924929001624*OFFSET($L$112,MATCH($N$1,$C$112:$C$113,0)-1,0)</f>
        <v>494.92492900162398</v>
      </c>
      <c r="G139" s="206"/>
      <c r="H139" s="206"/>
      <c r="I139" s="46"/>
      <c r="J139" s="206"/>
      <c r="K139" s="71" t="s">
        <v>260</v>
      </c>
      <c r="L139" s="72">
        <f t="shared" ref="L139:M141" ca="1" si="2">C140</f>
        <v>878.13118750000001</v>
      </c>
      <c r="M139" s="72">
        <f t="shared" ca="1" si="2"/>
        <v>315.20779807692298</v>
      </c>
      <c r="N139" s="72">
        <f ca="1">E140</f>
        <v>222.83865625000001</v>
      </c>
      <c r="O139" s="72"/>
    </row>
    <row r="140" spans="1:15" ht="18" customHeight="1">
      <c r="A140" s="166" t="s">
        <v>261</v>
      </c>
      <c r="B140" s="33" t="s">
        <v>262</v>
      </c>
      <c r="C140" s="73">
        <f ca="1">878.1311875*OFFSET($L$112,MATCH($N$1,$C$112:$C$113,0)-1,0)</f>
        <v>878.13118750000001</v>
      </c>
      <c r="D140" s="73">
        <f ca="1">315.207798076923*OFFSET($L$112,MATCH($N$1,$C$112:$C$113,0)-1,0)</f>
        <v>315.20779807692298</v>
      </c>
      <c r="E140" s="73">
        <f ca="1">222.83865625*OFFSET($L$112,MATCH($N$1,$C$112:$C$113,0)-1,0)</f>
        <v>222.83865625000001</v>
      </c>
      <c r="F140" s="74">
        <f ca="1">428.1408125*OFFSET($L$112,MATCH($N$1,$C$112:$C$113,0)-1,0)</f>
        <v>428.14081249999998</v>
      </c>
      <c r="G140" s="206"/>
      <c r="H140" s="206"/>
      <c r="I140" s="46"/>
      <c r="J140" s="206"/>
      <c r="K140" s="71" t="s">
        <v>263</v>
      </c>
      <c r="L140" s="72">
        <f t="shared" ca="1" si="2"/>
        <v>702.64049999999997</v>
      </c>
      <c r="M140" s="72">
        <f t="shared" ca="1" si="2"/>
        <v>292.42829326923101</v>
      </c>
      <c r="N140" s="72">
        <f ca="1">E141</f>
        <v>224.59203124999999</v>
      </c>
      <c r="O140" s="72"/>
    </row>
    <row r="141" spans="1:15" ht="18" customHeight="1">
      <c r="A141" s="167"/>
      <c r="B141" s="35" t="s">
        <v>264</v>
      </c>
      <c r="C141" s="30">
        <f ca="1">702.6405*OFFSET($L$112,MATCH($N$1,$C$112:$C$113,0)-1,0)</f>
        <v>702.64049999999997</v>
      </c>
      <c r="D141" s="30">
        <f ca="1">292.428293269231*OFFSET($L$112,MATCH($N$1,$C$112:$C$113,0)-1,0)</f>
        <v>292.42829326923101</v>
      </c>
      <c r="E141" s="30">
        <f ca="1">224.59203125*OFFSET($L$112,MATCH($N$1,$C$112:$C$113,0)-1,0)</f>
        <v>224.59203124999999</v>
      </c>
      <c r="F141" s="70">
        <f ca="1">374.5985*OFFSET($L$112,MATCH($N$1,$C$112:$C$113,0)-1,0)</f>
        <v>374.5985</v>
      </c>
      <c r="G141" s="206"/>
      <c r="H141" s="206"/>
      <c r="I141" s="46"/>
      <c r="J141" s="206"/>
      <c r="K141" s="71" t="s">
        <v>265</v>
      </c>
      <c r="L141" s="72">
        <f t="shared" ca="1" si="2"/>
        <v>175.49068750000001</v>
      </c>
      <c r="M141" s="72">
        <f t="shared" ca="1" si="2"/>
        <v>22.779504807692302</v>
      </c>
      <c r="N141" s="72">
        <f ca="1">E142</f>
        <v>-1.7533749999999999</v>
      </c>
      <c r="O141" s="72"/>
    </row>
    <row r="142" spans="1:15" ht="18" customHeight="1">
      <c r="A142" s="168"/>
      <c r="B142" s="37" t="s">
        <v>266</v>
      </c>
      <c r="C142" s="38">
        <f ca="1">175.4906875*OFFSET($L$112,MATCH($N$1,$C$112:$C$113,0)-1,0)</f>
        <v>175.49068750000001</v>
      </c>
      <c r="D142" s="38">
        <f ca="1">22.7795048076923*OFFSET($L$112,MATCH($N$1,$C$112:$C$113,0)-1,0)</f>
        <v>22.779504807692302</v>
      </c>
      <c r="E142" s="38">
        <f ca="1">-1.753375*OFFSET($L$112,MATCH($N$1,$C$112:$C$113,0)-1,0)</f>
        <v>-1.7533749999999999</v>
      </c>
      <c r="F142" s="63">
        <f ca="1">53.54230859375*OFFSET($L$112,MATCH($N$1,$C$112:$C$113,0)-1,0)</f>
        <v>53.542308593750001</v>
      </c>
      <c r="G142" s="206"/>
      <c r="H142" s="206"/>
      <c r="I142" s="46"/>
      <c r="J142" s="206"/>
      <c r="K142" s="71" t="s">
        <v>267</v>
      </c>
      <c r="L142" s="75">
        <f ca="1">IFERROR(L140/L$139,"")</f>
        <v>0.80015436190164924</v>
      </c>
      <c r="M142" s="75">
        <f t="shared" ref="M142:N143" ca="1" si="3">IFERROR(M140/M$139,"")</f>
        <v>0.92773178535978706</v>
      </c>
      <c r="N142" s="75">
        <f t="shared" ca="1" si="3"/>
        <v>1.0078683610353174</v>
      </c>
      <c r="O142" s="75"/>
    </row>
    <row r="143" spans="1:15" ht="18" customHeight="1">
      <c r="A143" s="206"/>
      <c r="B143" s="206"/>
      <c r="C143" s="206"/>
      <c r="D143" s="206"/>
      <c r="E143" s="206"/>
      <c r="F143" s="206"/>
      <c r="G143" s="206"/>
      <c r="H143" s="206"/>
      <c r="I143" s="46"/>
      <c r="J143" s="206"/>
      <c r="K143" s="71" t="s">
        <v>268</v>
      </c>
      <c r="L143" s="75">
        <f ca="1">IFERROR(L141/L$139,"")</f>
        <v>0.19984563809835076</v>
      </c>
      <c r="M143" s="75">
        <f t="shared" ca="1" si="3"/>
        <v>7.226821464021399E-2</v>
      </c>
      <c r="N143" s="75">
        <f t="shared" ca="1" si="3"/>
        <v>-7.8683610353174512E-3</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10</v>
      </c>
      <c r="B161" s="51"/>
      <c r="C161" s="76" t="s">
        <v>249</v>
      </c>
      <c r="D161" s="76" t="s">
        <v>270</v>
      </c>
      <c r="E161" s="76" t="s">
        <v>251</v>
      </c>
      <c r="F161" s="76" t="s">
        <v>271</v>
      </c>
      <c r="G161" s="77">
        <v>11</v>
      </c>
      <c r="H161" s="76"/>
      <c r="I161" s="76" t="s">
        <v>249</v>
      </c>
      <c r="J161" s="76" t="s">
        <v>270</v>
      </c>
      <c r="K161" s="76" t="s">
        <v>251</v>
      </c>
      <c r="L161" s="51" t="s">
        <v>271</v>
      </c>
      <c r="R161" s="206"/>
      <c r="S161" s="206"/>
    </row>
    <row r="162" spans="1:19" s="46" customFormat="1">
      <c r="A162" s="47">
        <v>1</v>
      </c>
      <c r="B162" s="51" t="s">
        <v>160</v>
      </c>
      <c r="C162" s="51">
        <v>0.40740752008643633</v>
      </c>
      <c r="D162" s="51">
        <v>0.94019676074043468</v>
      </c>
      <c r="E162" s="51">
        <v>0.91394539856565493</v>
      </c>
      <c r="F162" s="47">
        <v>12153634</v>
      </c>
      <c r="G162" s="47">
        <v>1</v>
      </c>
      <c r="H162" s="51" t="s">
        <v>160</v>
      </c>
      <c r="I162" s="51">
        <v>0.61527330833206917</v>
      </c>
      <c r="J162" s="51">
        <v>0.95584930845536364</v>
      </c>
      <c r="K162" s="51">
        <v>0.95956620421439764</v>
      </c>
      <c r="L162" s="47">
        <v>12153634</v>
      </c>
      <c r="R162" s="206"/>
      <c r="S162" s="206"/>
    </row>
    <row r="163" spans="1:19" s="46" customFormat="1">
      <c r="A163" s="47">
        <v>2</v>
      </c>
      <c r="B163" s="51" t="s">
        <v>172</v>
      </c>
      <c r="C163" s="51">
        <v>0</v>
      </c>
      <c r="D163" s="51">
        <v>1.4147538264385438E-2</v>
      </c>
      <c r="E163" s="51">
        <v>4.8356212490604043E-3</v>
      </c>
      <c r="F163" s="47">
        <v>2480382</v>
      </c>
      <c r="G163" s="47">
        <v>2</v>
      </c>
      <c r="H163" s="51" t="s">
        <v>172</v>
      </c>
      <c r="I163" s="51">
        <v>0</v>
      </c>
      <c r="J163" s="51">
        <v>1.4300470471911401E-2</v>
      </c>
      <c r="K163" s="51">
        <v>4.7467843313286455E-3</v>
      </c>
      <c r="L163" s="47">
        <v>2480382</v>
      </c>
      <c r="N163" s="46" t="s">
        <v>272</v>
      </c>
      <c r="R163" s="206"/>
      <c r="S163" s="206"/>
    </row>
    <row r="164" spans="1:19" s="46" customFormat="1">
      <c r="A164" s="47">
        <v>3</v>
      </c>
      <c r="B164" s="51" t="s">
        <v>161</v>
      </c>
      <c r="C164" s="51">
        <v>5.7237056979771231E-2</v>
      </c>
      <c r="D164" s="51">
        <v>1.3560859019989395E-2</v>
      </c>
      <c r="E164" s="51">
        <v>2.1814250178142754E-2</v>
      </c>
      <c r="F164" s="47">
        <v>3050596</v>
      </c>
      <c r="G164" s="47">
        <v>3</v>
      </c>
      <c r="H164" s="51" t="s">
        <v>161</v>
      </c>
      <c r="I164" s="51">
        <v>7.4106248585596585E-2</v>
      </c>
      <c r="J164" s="51">
        <v>1.3426863198058449E-2</v>
      </c>
      <c r="K164" s="51">
        <v>1.7157834307604768E-2</v>
      </c>
      <c r="L164" s="47">
        <v>3050596</v>
      </c>
      <c r="N164" s="46" t="s">
        <v>273</v>
      </c>
      <c r="R164" s="206"/>
      <c r="S164" s="206"/>
    </row>
    <row r="165" spans="1:19" s="46" customFormat="1">
      <c r="A165" s="47">
        <v>4</v>
      </c>
      <c r="B165" s="51" t="s">
        <v>244</v>
      </c>
      <c r="C165" s="51">
        <v>0</v>
      </c>
      <c r="D165" s="51">
        <v>9.7972038490311362E-3</v>
      </c>
      <c r="E165" s="51">
        <v>3.0193487950610758E-2</v>
      </c>
      <c r="F165" s="47">
        <v>7434864</v>
      </c>
      <c r="G165" s="47">
        <v>4</v>
      </c>
      <c r="H165" s="51" t="s">
        <v>170</v>
      </c>
      <c r="I165" s="51">
        <v>0</v>
      </c>
      <c r="J165" s="51">
        <v>4.9720231626598612E-3</v>
      </c>
      <c r="K165" s="51">
        <v>0</v>
      </c>
      <c r="L165" s="47">
        <v>8497745</v>
      </c>
      <c r="R165" s="206"/>
      <c r="S165" s="206"/>
    </row>
    <row r="166" spans="1:19" s="46" customFormat="1">
      <c r="A166" s="47">
        <v>5</v>
      </c>
      <c r="B166" s="51" t="s">
        <v>157</v>
      </c>
      <c r="C166" s="51">
        <v>0</v>
      </c>
      <c r="D166" s="51">
        <v>6.0239743681561667E-3</v>
      </c>
      <c r="E166" s="51">
        <v>1.5393971688863884E-2</v>
      </c>
      <c r="F166" s="47">
        <v>11115023</v>
      </c>
      <c r="G166" s="47">
        <v>5</v>
      </c>
      <c r="H166" s="51" t="s">
        <v>244</v>
      </c>
      <c r="I166" s="51">
        <v>0</v>
      </c>
      <c r="J166" s="51">
        <v>3.1729175703308363E-3</v>
      </c>
      <c r="K166" s="51">
        <v>8.0534679556163412E-3</v>
      </c>
      <c r="L166" s="47">
        <v>7434864</v>
      </c>
      <c r="R166" s="206"/>
      <c r="S166" s="206"/>
    </row>
    <row r="167" spans="1:19" s="46" customFormat="1">
      <c r="A167" s="47">
        <v>6</v>
      </c>
      <c r="B167" s="51" t="s">
        <v>328</v>
      </c>
      <c r="C167" s="51">
        <v>0.30028809265234518</v>
      </c>
      <c r="D167" s="51">
        <v>0</v>
      </c>
      <c r="E167" s="51">
        <v>0</v>
      </c>
      <c r="F167" s="47">
        <v>1692097</v>
      </c>
      <c r="G167" s="47">
        <v>6</v>
      </c>
      <c r="H167" s="51" t="s">
        <v>157</v>
      </c>
      <c r="I167" s="51">
        <v>0</v>
      </c>
      <c r="J167" s="51">
        <v>0</v>
      </c>
      <c r="K167" s="51">
        <v>5.372711013370916E-3</v>
      </c>
      <c r="L167" s="47">
        <v>11115023</v>
      </c>
      <c r="R167" s="206"/>
      <c r="S167" s="206"/>
    </row>
    <row r="168" spans="1:19" s="46" customFormat="1">
      <c r="A168" s="47">
        <v>7</v>
      </c>
      <c r="B168" s="51" t="s">
        <v>169</v>
      </c>
      <c r="C168" s="51">
        <v>8.6057407922459611E-2</v>
      </c>
      <c r="D168" s="51">
        <v>0</v>
      </c>
      <c r="E168" s="51">
        <v>0</v>
      </c>
      <c r="F168" s="47">
        <v>553960</v>
      </c>
      <c r="G168" s="47">
        <v>7</v>
      </c>
      <c r="H168" s="51" t="s">
        <v>169</v>
      </c>
      <c r="I168" s="51">
        <v>0.17125311583228264</v>
      </c>
      <c r="J168" s="51">
        <v>0</v>
      </c>
      <c r="K168" s="51">
        <v>0</v>
      </c>
      <c r="L168" s="47">
        <v>553960</v>
      </c>
      <c r="R168" s="206"/>
      <c r="S168" s="206"/>
    </row>
    <row r="169" spans="1:19" s="46" customFormat="1">
      <c r="A169" s="47">
        <v>8</v>
      </c>
      <c r="B169" s="51" t="s">
        <v>343</v>
      </c>
      <c r="C169" s="51">
        <v>2.5372748861103984E-2</v>
      </c>
      <c r="D169" s="51">
        <v>0</v>
      </c>
      <c r="E169" s="51">
        <v>0</v>
      </c>
      <c r="F169" s="47">
        <v>14393110</v>
      </c>
      <c r="G169" s="47">
        <v>8</v>
      </c>
      <c r="H169" s="51" t="s">
        <v>328</v>
      </c>
      <c r="I169" s="51">
        <v>2.9605989174684728E-2</v>
      </c>
      <c r="J169" s="51">
        <v>0</v>
      </c>
      <c r="K169" s="51">
        <v>0</v>
      </c>
      <c r="L169" s="47">
        <v>1692097</v>
      </c>
      <c r="R169" s="206"/>
      <c r="S169" s="206"/>
    </row>
    <row r="170" spans="1:19" s="46" customFormat="1">
      <c r="A170" s="47">
        <v>9</v>
      </c>
      <c r="B170" s="51" t="s">
        <v>245</v>
      </c>
      <c r="C170" s="51">
        <v>0.12363717349788372</v>
      </c>
      <c r="D170" s="51">
        <v>1.627366375800321E-2</v>
      </c>
      <c r="E170" s="51">
        <v>1.3817270367667223E-2</v>
      </c>
      <c r="F170" s="47">
        <v>5920853</v>
      </c>
      <c r="G170" s="47">
        <v>9</v>
      </c>
      <c r="H170" s="51" t="s">
        <v>241</v>
      </c>
      <c r="I170" s="51">
        <v>2.4191663915574313E-2</v>
      </c>
      <c r="J170" s="51">
        <v>0</v>
      </c>
      <c r="K170" s="51">
        <v>0</v>
      </c>
      <c r="L170" s="47">
        <v>3689192</v>
      </c>
      <c r="R170" s="206"/>
      <c r="S170" s="206"/>
    </row>
    <row r="171" spans="1:19" s="46" customFormat="1">
      <c r="A171" s="47">
        <v>10</v>
      </c>
      <c r="B171" s="51"/>
      <c r="C171" s="51">
        <v>0</v>
      </c>
      <c r="D171" s="51">
        <v>0</v>
      </c>
      <c r="E171" s="51">
        <v>0</v>
      </c>
      <c r="F171" s="47"/>
      <c r="G171" s="47">
        <v>10</v>
      </c>
      <c r="H171" s="51" t="s">
        <v>245</v>
      </c>
      <c r="I171" s="51">
        <v>8.5569674159792664E-2</v>
      </c>
      <c r="J171" s="51">
        <v>8.2784171416757646E-3</v>
      </c>
      <c r="K171" s="51">
        <v>5.1029981776816724E-3</v>
      </c>
      <c r="L171" s="47">
        <v>5920853</v>
      </c>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2FEA2FA7-5B88-4E97-AE54-586D62E93E0D}">
      <formula1>$C$112:$C$113</formula1>
    </dataValidation>
  </dataValidations>
  <hyperlinks>
    <hyperlink ref="O1:P1" location="Home_page" display="Back to home page" xr:uid="{8E2B9C45-D562-487A-8580-5B3E7E07C5E9}"/>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7FAD6AF9-654F-47B9-9D45-559D864A248B}">
          <x14:colorSeries rgb="FF323232"/>
          <x14:colorNegative rgb="FFD00000"/>
          <x14:colorAxis rgb="FF000000"/>
          <x14:colorMarkers rgb="FFD00000"/>
          <x14:colorFirst rgb="FFD00000"/>
          <x14:colorLast rgb="FFD00000"/>
          <x14:colorHigh rgb="FFD00000"/>
          <x14:colorLow rgb="FFD00000"/>
          <x14:sparklines>
            <x14:sparkline>
              <xm:f>'WOS nephrops over 250kW'!D3:N3</xm:f>
              <xm:sqref>C3</xm:sqref>
            </x14:sparkline>
            <x14:sparkline>
              <xm:f>'WOS nephrops over 250kW'!D4:N4</xm:f>
              <xm:sqref>C4</xm:sqref>
            </x14:sparkline>
            <x14:sparkline>
              <xm:f>'WOS nephrops over 250kW'!D5:N5</xm:f>
              <xm:sqref>C5</xm:sqref>
            </x14:sparkline>
            <x14:sparkline>
              <xm:f>'WOS nephrops over 250kW'!D6:N6</xm:f>
              <xm:sqref>C6</xm:sqref>
            </x14:sparkline>
            <x14:sparkline>
              <xm:f>'WOS nephrops over 250kW'!D7:N7</xm:f>
              <xm:sqref>C7</xm:sqref>
            </x14:sparkline>
            <x14:sparkline>
              <xm:f>'WOS nephrops over 250kW'!D8:N8</xm:f>
              <xm:sqref>C8</xm:sqref>
            </x14:sparkline>
            <x14:sparkline>
              <xm:f>'WOS nephrops over 250kW'!D9:N9</xm:f>
              <xm:sqref>C9</xm:sqref>
            </x14:sparkline>
            <x14:sparkline>
              <xm:f>'WOS nephrops over 250kW'!D10:N10</xm:f>
              <xm:sqref>C10</xm:sqref>
            </x14:sparkline>
            <x14:sparkline>
              <xm:f>'WOS nephrops over 250kW'!D11:N11</xm:f>
              <xm:sqref>C11</xm:sqref>
            </x14:sparkline>
            <x14:sparkline>
              <xm:f>'WOS nephrops over 250kW'!D12:N12</xm:f>
              <xm:sqref>C12</xm:sqref>
            </x14:sparkline>
            <x14:sparkline>
              <xm:f>'WOS nephrops over 250kW'!D13:N13</xm:f>
              <xm:sqref>C13</xm:sqref>
            </x14:sparkline>
            <x14:sparkline>
              <xm:f>'WOS nephrops over 250kW'!D14:N14</xm:f>
              <xm:sqref>C14</xm:sqref>
            </x14:sparkline>
            <x14:sparkline>
              <xm:f>'WOS nephrops over 250kW'!D15:N15</xm:f>
              <xm:sqref>C15</xm:sqref>
            </x14:sparkline>
            <x14:sparkline>
              <xm:f>'WOS nephrops over 250kW'!D16:N16</xm:f>
              <xm:sqref>C16</xm:sqref>
            </x14:sparkline>
            <x14:sparkline>
              <xm:f>'WOS nephrops over 250kW'!D17:N17</xm:f>
              <xm:sqref>C17</xm:sqref>
            </x14:sparkline>
            <x14:sparkline>
              <xm:f>'WOS nephrops over 250kW'!D18:N18</xm:f>
              <xm:sqref>C18</xm:sqref>
            </x14:sparkline>
            <x14:sparkline>
              <xm:f>'WOS nephrops over 250kW'!D19:N19</xm:f>
              <xm:sqref>C19</xm:sqref>
            </x14:sparkline>
            <x14:sparkline>
              <xm:f>'WOS nephrops over 250kW'!D20:N20</xm:f>
              <xm:sqref>C20</xm:sqref>
            </x14:sparkline>
            <x14:sparkline>
              <xm:f>'WOS nephrops over 250kW'!D21:N21</xm:f>
              <xm:sqref>C21</xm:sqref>
            </x14:sparkline>
            <x14:sparkline>
              <xm:f>'WOS nephrops over 250kW'!D22:N22</xm:f>
              <xm:sqref>C22</xm:sqref>
            </x14:sparkline>
            <x14:sparkline>
              <xm:f>'WOS nephrops over 250kW'!D23:N23</xm:f>
              <xm:sqref>C23</xm:sqref>
            </x14:sparkline>
            <x14:sparkline>
              <xm:f>'WOS nephrops over 250kW'!D24:N24</xm:f>
              <xm:sqref>C24</xm:sqref>
            </x14:sparkline>
            <x14:sparkline>
              <xm:f>'WOS nephrops over 250kW'!D25:N25</xm:f>
              <xm:sqref>C25</xm:sqref>
            </x14:sparkline>
            <x14:sparkline>
              <xm:f>'WOS nephrops over 250kW'!D26:N26</xm:f>
              <xm:sqref>C26</xm:sqref>
            </x14:sparkline>
            <x14:sparkline>
              <xm:f>'WOS nephrops over 250kW'!D27:N27</xm:f>
              <xm:sqref>C27</xm:sqref>
            </x14:sparkline>
            <x14:sparkline>
              <xm:f>'WOS nephrops over 250kW'!D28:N28</xm:f>
              <xm:sqref>C28</xm:sqref>
            </x14:sparkline>
            <x14:sparkline>
              <xm:f>'WOS nephrops over 250kW'!D29:N29</xm:f>
              <xm:sqref>C29</xm:sqref>
            </x14:sparkline>
            <x14:sparkline>
              <xm:f>'WOS nephrops over 250kW'!D30:N30</xm:f>
              <xm:sqref>C30</xm:sqref>
            </x14:sparkline>
            <x14:sparkline>
              <xm:f>'WOS nephrops over 250kW'!D31:N31</xm:f>
              <xm:sqref>C31</xm:sqref>
            </x14:sparkline>
            <x14:sparkline>
              <xm:f>'WOS nephrops over 250kW'!D32:N32</xm:f>
              <xm:sqref>C32</xm:sqref>
            </x14:sparkline>
            <x14:sparkline>
              <xm:f>'WOS nephrops over 250kW'!D33:N33</xm:f>
              <xm:sqref>C33</xm:sqref>
            </x14:sparkline>
            <x14:sparkline>
              <xm:f>'WOS nephrops over 250kW'!D34:N34</xm:f>
              <xm:sqref>C34</xm:sqref>
            </x14:sparkline>
            <x14:sparkline>
              <xm:f>'WOS nephrops over 250kW'!D35:N35</xm:f>
              <xm:sqref>C35</xm:sqref>
            </x14:sparkline>
            <x14:sparkline>
              <xm:f>'WOS nephrops over 250kW'!D36:N36</xm:f>
              <xm:sqref>C36</xm:sqref>
            </x14:sparkline>
            <x14:sparkline>
              <xm:f>'WOS nephrops over 250kW'!D37:N37</xm:f>
              <xm:sqref>C37</xm:sqref>
            </x14:sparkline>
            <x14:sparkline>
              <xm:f>'WOS nephrops over 250kW'!D38:N38</xm:f>
              <xm:sqref>C38</xm:sqref>
            </x14:sparkline>
            <x14:sparkline>
              <xm:f>'WOS nephrops over 250kW'!D39:N39</xm:f>
              <xm:sqref>C39</xm:sqref>
            </x14:sparkline>
            <x14:sparkline>
              <xm:f>'WOS nephrops over 250kW'!D40:N40</xm:f>
              <xm:sqref>C40</xm:sqref>
            </x14:sparkline>
            <x14:sparkline>
              <xm:f>'WOS nephrops over 250kW'!D41:N41</xm:f>
              <xm:sqref>C41</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1CACD-211D-4008-BB86-43D39F45D999}">
  <sheetPr codeName="Feuil38">
    <pageSetUpPr fitToPage="1"/>
  </sheetPr>
  <dimension ref="A1:S192"/>
  <sheetViews>
    <sheetView zoomScale="70" zoomScaleNormal="70" zoomScalePageLayoutView="87" workbookViewId="0">
      <selection activeCell="S72" sqref="S72"/>
    </sheetView>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40</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104</v>
      </c>
      <c r="E3" s="27">
        <v>94</v>
      </c>
      <c r="F3" s="27">
        <v>99</v>
      </c>
      <c r="G3" s="27">
        <v>96</v>
      </c>
      <c r="H3" s="27">
        <v>90</v>
      </c>
      <c r="I3" s="27">
        <v>89</v>
      </c>
      <c r="J3" s="27">
        <v>81</v>
      </c>
      <c r="K3" s="27">
        <v>74</v>
      </c>
      <c r="L3" s="27">
        <v>61</v>
      </c>
      <c r="M3" s="27">
        <v>60</v>
      </c>
      <c r="N3" s="27">
        <v>53</v>
      </c>
      <c r="O3" s="28">
        <f t="shared" ref="O3:O41" si="0">IF(N3=0,"",IFERROR(IF(AND(N3&gt;0,D3&lt;0),"na",IF(AND(N3&lt;0,D3&lt;0),-1,1)*(N3-D3)/D3),""))</f>
        <v>-0.49038461538461536</v>
      </c>
      <c r="P3" s="28">
        <f t="shared" ref="P3:P41" si="1">IF(N3=0,"",IFERROR(IF(AND(N3&gt;0,J3&lt;0),"na",IF(AND(N3&lt;0,J3&lt;0),-1,1)*(N3-J3)/J3),""))</f>
        <v>-0.34567901234567899</v>
      </c>
      <c r="Q3" s="206"/>
    </row>
    <row r="4" spans="1:17" ht="18" customHeight="1">
      <c r="A4" s="172"/>
      <c r="B4" s="29" t="s">
        <v>184</v>
      </c>
      <c r="C4" s="30"/>
      <c r="D4" s="30">
        <v>17243</v>
      </c>
      <c r="E4" s="30">
        <v>15282</v>
      </c>
      <c r="F4" s="30">
        <v>15851</v>
      </c>
      <c r="G4" s="30">
        <v>15656</v>
      </c>
      <c r="H4" s="30">
        <v>14714</v>
      </c>
      <c r="I4" s="30">
        <v>14387</v>
      </c>
      <c r="J4" s="30">
        <v>13405</v>
      </c>
      <c r="K4" s="30">
        <v>12232</v>
      </c>
      <c r="L4" s="30">
        <v>9966</v>
      </c>
      <c r="M4" s="30">
        <v>10395</v>
      </c>
      <c r="N4" s="30">
        <v>9099</v>
      </c>
      <c r="O4" s="28">
        <f t="shared" si="0"/>
        <v>-0.47230760308531</v>
      </c>
      <c r="P4" s="28">
        <f t="shared" si="1"/>
        <v>-0.32122342409548676</v>
      </c>
      <c r="Q4" s="206"/>
    </row>
    <row r="5" spans="1:17" ht="18" customHeight="1">
      <c r="A5" s="172"/>
      <c r="B5" s="29" t="s">
        <v>185</v>
      </c>
      <c r="C5" s="30"/>
      <c r="D5" s="30">
        <v>3962</v>
      </c>
      <c r="E5" s="30">
        <v>3501</v>
      </c>
      <c r="F5" s="30">
        <v>3679</v>
      </c>
      <c r="G5" s="30">
        <v>3684</v>
      </c>
      <c r="H5" s="30">
        <v>3453</v>
      </c>
      <c r="I5" s="30">
        <v>3275</v>
      </c>
      <c r="J5" s="30">
        <v>3045</v>
      </c>
      <c r="K5" s="30">
        <v>2943</v>
      </c>
      <c r="L5" s="30">
        <v>2344</v>
      </c>
      <c r="M5" s="30">
        <v>2580</v>
      </c>
      <c r="N5" s="30">
        <v>2126</v>
      </c>
      <c r="O5" s="28">
        <f t="shared" si="0"/>
        <v>-0.46340232205956589</v>
      </c>
      <c r="P5" s="28">
        <f t="shared" si="1"/>
        <v>-0.30180623973727422</v>
      </c>
      <c r="Q5" s="207"/>
    </row>
    <row r="6" spans="1:17" ht="18" customHeight="1">
      <c r="A6" s="172"/>
      <c r="B6" s="29" t="s">
        <v>186</v>
      </c>
      <c r="C6" s="30"/>
      <c r="D6" s="30">
        <v>15679.310546875</v>
      </c>
      <c r="E6" s="30">
        <v>13983.46484375</v>
      </c>
      <c r="F6" s="30">
        <v>14577.142578125</v>
      </c>
      <c r="G6" s="30">
        <v>14395.8583984375</v>
      </c>
      <c r="H6" s="30">
        <v>13581.5751953125</v>
      </c>
      <c r="I6" s="30">
        <v>13226.0654296875</v>
      </c>
      <c r="J6" s="30">
        <v>12171.146484375</v>
      </c>
      <c r="K6" s="30">
        <v>11386.3291015625</v>
      </c>
      <c r="L6" s="30">
        <v>9201.818359375</v>
      </c>
      <c r="M6" s="30">
        <v>9623.94140625</v>
      </c>
      <c r="N6" s="30">
        <v>8316.666015625</v>
      </c>
      <c r="O6" s="28">
        <f t="shared" si="0"/>
        <v>-0.46957705884060241</v>
      </c>
      <c r="P6" s="28">
        <f t="shared" si="1"/>
        <v>-0.31669000728060265</v>
      </c>
      <c r="Q6" s="206"/>
    </row>
    <row r="7" spans="1:17" ht="18" customHeight="1">
      <c r="A7" s="172"/>
      <c r="B7" s="29" t="s">
        <v>187</v>
      </c>
      <c r="C7" s="30"/>
      <c r="D7" s="30">
        <v>6529.64404296875</v>
      </c>
      <c r="E7" s="30">
        <v>5869.46533203125</v>
      </c>
      <c r="F7" s="30">
        <v>6578.23876953125</v>
      </c>
      <c r="G7" s="30">
        <v>6387.63916015625</v>
      </c>
      <c r="H7" s="30">
        <v>5590.63720703125</v>
      </c>
      <c r="I7" s="30">
        <v>4935.31201171875</v>
      </c>
      <c r="J7" s="30">
        <v>5803.6943359375</v>
      </c>
      <c r="K7" s="30">
        <v>4969.7666015625</v>
      </c>
      <c r="L7" s="30">
        <v>3767.2451171875</v>
      </c>
      <c r="M7" s="30">
        <v>4350.76318359375</v>
      </c>
      <c r="N7" s="30">
        <v>2634.4521484375</v>
      </c>
      <c r="O7" s="28">
        <f t="shared" si="0"/>
        <v>-0.59653969939229223</v>
      </c>
      <c r="P7" s="28">
        <f t="shared" si="1"/>
        <v>-0.54607324301617555</v>
      </c>
      <c r="Q7" s="206"/>
    </row>
    <row r="8" spans="1:17" ht="18" customHeight="1">
      <c r="A8" s="172"/>
      <c r="B8" s="29" t="s">
        <v>188</v>
      </c>
      <c r="C8" s="31"/>
      <c r="D8" s="31">
        <f ca="1">17.240802*OFFSET(D$112,MATCH($N$1,$C$112:$C$113,0)-1,0)</f>
        <v>17.240801999999999</v>
      </c>
      <c r="E8" s="31">
        <f ca="1">18.467714*OFFSET(E$112,MATCH($N$1,$C$112:$C$113,0)-1,0)</f>
        <v>18.467714000000001</v>
      </c>
      <c r="F8" s="31">
        <f ca="1">21.80298*OFFSET(F$112,MATCH($N$1,$C$112:$C$113,0)-1,0)</f>
        <v>21.802980000000002</v>
      </c>
      <c r="G8" s="31">
        <f ca="1">18.900974*OFFSET(G$112,MATCH($N$1,$C$112:$C$113,0)-1,0)</f>
        <v>18.900974000000001</v>
      </c>
      <c r="H8" s="31">
        <f ca="1">17.393152*OFFSET(H$112,MATCH($N$1,$C$112:$C$113,0)-1,0)</f>
        <v>17.393152000000001</v>
      </c>
      <c r="I8" s="31">
        <f ca="1">15.511752*OFFSET(I$112,MATCH($N$1,$C$112:$C$113,0)-1,0)</f>
        <v>15.511752</v>
      </c>
      <c r="J8" s="31">
        <f ca="1">16.814798*OFFSET(J$112,MATCH($N$1,$C$112:$C$113,0)-1,0)</f>
        <v>16.814798</v>
      </c>
      <c r="K8" s="31">
        <f ca="1">14.405693*OFFSET(K$112,MATCH($N$1,$C$112:$C$113,0)-1,0)</f>
        <v>14.405692999999999</v>
      </c>
      <c r="L8" s="31">
        <f ca="1">11.480654*OFFSET(L$112,MATCH($N$1,$C$112:$C$113,0)-1,0)</f>
        <v>11.480653999999999</v>
      </c>
      <c r="M8" s="31">
        <f ca="1">12.776593*OFFSET(M$112,MATCH($N$1,$C$112:$C$113,0)-1,0)</f>
        <v>12.776593</v>
      </c>
      <c r="N8" s="31">
        <v>5.8658799999999998</v>
      </c>
      <c r="O8" s="28">
        <f t="shared" ca="1" si="0"/>
        <v>-0.65976756765723532</v>
      </c>
      <c r="P8" s="28">
        <f t="shared" ca="1" si="1"/>
        <v>-0.65114775687462911</v>
      </c>
      <c r="Q8" s="206"/>
    </row>
    <row r="9" spans="1:17" ht="18" customHeight="1">
      <c r="A9" s="172"/>
      <c r="B9" s="29" t="s">
        <v>189</v>
      </c>
      <c r="C9" s="30"/>
      <c r="D9" s="30">
        <v>17559</v>
      </c>
      <c r="E9" s="30">
        <v>14963</v>
      </c>
      <c r="F9" s="30">
        <v>16450</v>
      </c>
      <c r="G9" s="30">
        <v>15345</v>
      </c>
      <c r="H9" s="30">
        <v>14535</v>
      </c>
      <c r="I9" s="30">
        <v>13559</v>
      </c>
      <c r="J9" s="30">
        <v>12851</v>
      </c>
      <c r="K9" s="30">
        <v>11256</v>
      </c>
      <c r="L9" s="30">
        <v>9499</v>
      </c>
      <c r="M9" s="30">
        <v>9773</v>
      </c>
      <c r="N9" s="30">
        <v>6863</v>
      </c>
      <c r="O9" s="28">
        <f t="shared" si="0"/>
        <v>-0.60914630673728576</v>
      </c>
      <c r="P9" s="28">
        <f t="shared" si="1"/>
        <v>-0.46595595673488444</v>
      </c>
      <c r="Q9" s="206"/>
    </row>
    <row r="10" spans="1:17" ht="18" customHeight="1">
      <c r="A10" s="172"/>
      <c r="B10" s="29" t="s">
        <v>190</v>
      </c>
      <c r="C10" s="30"/>
      <c r="D10" s="30">
        <v>488.49423217773438</v>
      </c>
      <c r="E10" s="30">
        <v>394.95602416992188</v>
      </c>
      <c r="F10" s="30">
        <v>471.03048706054688</v>
      </c>
      <c r="G10" s="30">
        <v>323.33642578125</v>
      </c>
      <c r="H10" s="30">
        <v>349.66726684570313</v>
      </c>
      <c r="I10" s="30">
        <v>354.24713134765625</v>
      </c>
      <c r="J10" s="30">
        <v>305.70828247070313</v>
      </c>
      <c r="K10" s="30">
        <v>283.05819702148438</v>
      </c>
      <c r="L10" s="30">
        <v>285.52740478515625</v>
      </c>
      <c r="M10" s="30">
        <v>231.87947082519531</v>
      </c>
      <c r="N10" s="30">
        <v>152.84664916992188</v>
      </c>
      <c r="O10" s="32">
        <f t="shared" si="0"/>
        <v>-0.68710654271489957</v>
      </c>
      <c r="P10" s="32">
        <f t="shared" si="1"/>
        <v>-0.50002450723732161</v>
      </c>
      <c r="Q10" s="206"/>
    </row>
    <row r="11" spans="1:17" ht="18" customHeight="1">
      <c r="A11" s="173" t="s">
        <v>191</v>
      </c>
      <c r="B11" s="33" t="s">
        <v>192</v>
      </c>
      <c r="C11" s="34"/>
      <c r="D11" s="34">
        <v>14.662981033325195</v>
      </c>
      <c r="E11" s="34">
        <v>14.621064186096191</v>
      </c>
      <c r="F11" s="34">
        <v>14.564949035644531</v>
      </c>
      <c r="G11" s="34">
        <v>14.633020401000977</v>
      </c>
      <c r="H11" s="34">
        <v>14.802777290344238</v>
      </c>
      <c r="I11" s="34">
        <v>14.690673828125</v>
      </c>
      <c r="J11" s="34">
        <v>14.746542930603027</v>
      </c>
      <c r="K11" s="34">
        <v>15.086081504821777</v>
      </c>
      <c r="L11" s="34">
        <v>14.826885223388672</v>
      </c>
      <c r="M11" s="34">
        <v>15.443666458129883</v>
      </c>
      <c r="N11" s="34">
        <v>15.111509323120117</v>
      </c>
      <c r="O11" s="28">
        <f t="shared" si="0"/>
        <v>3.0589161151851188E-2</v>
      </c>
      <c r="P11" s="28">
        <f t="shared" si="1"/>
        <v>2.4749284916106458E-2</v>
      </c>
      <c r="Q11" s="206"/>
    </row>
    <row r="12" spans="1:17" ht="18" customHeight="1">
      <c r="A12" s="174"/>
      <c r="B12" s="35" t="s">
        <v>184</v>
      </c>
      <c r="C12" s="30"/>
      <c r="D12" s="30">
        <v>165.79808044433594</v>
      </c>
      <c r="E12" s="30">
        <v>162.574462890625</v>
      </c>
      <c r="F12" s="30">
        <v>160.11111450195313</v>
      </c>
      <c r="G12" s="30">
        <v>163.08332824707031</v>
      </c>
      <c r="H12" s="30">
        <v>163.4888916015625</v>
      </c>
      <c r="I12" s="30">
        <v>161.65168762207031</v>
      </c>
      <c r="J12" s="30">
        <v>165.49382019042969</v>
      </c>
      <c r="K12" s="30">
        <v>165.29730224609375</v>
      </c>
      <c r="L12" s="30">
        <v>163.37704467773438</v>
      </c>
      <c r="M12" s="30">
        <v>173.25</v>
      </c>
      <c r="N12" s="30">
        <v>171.67924499511719</v>
      </c>
      <c r="O12" s="28">
        <f t="shared" si="0"/>
        <v>3.5471849463032577E-2</v>
      </c>
      <c r="P12" s="28">
        <f t="shared" si="1"/>
        <v>3.7375563616635854E-2</v>
      </c>
      <c r="Q12" s="206"/>
    </row>
    <row r="13" spans="1:17" ht="18" customHeight="1">
      <c r="A13" s="174"/>
      <c r="B13" s="35" t="s">
        <v>185</v>
      </c>
      <c r="C13" s="30"/>
      <c r="D13" s="30">
        <v>38.096153259277344</v>
      </c>
      <c r="E13" s="30">
        <v>37.244682312011719</v>
      </c>
      <c r="F13" s="30">
        <v>37.161617279052734</v>
      </c>
      <c r="G13" s="30">
        <v>38.375</v>
      </c>
      <c r="H13" s="30">
        <v>38.366664886474609</v>
      </c>
      <c r="I13" s="30">
        <v>36.797752380371094</v>
      </c>
      <c r="J13" s="30">
        <v>37.592594146728516</v>
      </c>
      <c r="K13" s="30">
        <v>39.770271301269531</v>
      </c>
      <c r="L13" s="30">
        <v>38.426231384277344</v>
      </c>
      <c r="M13" s="30">
        <v>43</v>
      </c>
      <c r="N13" s="30">
        <v>40.113208770751953</v>
      </c>
      <c r="O13" s="28">
        <f t="shared" si="0"/>
        <v>5.29464352410281E-2</v>
      </c>
      <c r="P13" s="28">
        <f t="shared" si="1"/>
        <v>6.705082959120004E-2</v>
      </c>
      <c r="Q13" s="206"/>
    </row>
    <row r="14" spans="1:17" ht="18" customHeight="1">
      <c r="A14" s="174"/>
      <c r="B14" s="35" t="s">
        <v>186</v>
      </c>
      <c r="C14" s="30"/>
      <c r="D14" s="30">
        <v>150.76260375976563</v>
      </c>
      <c r="E14" s="30">
        <v>148.76026916503906</v>
      </c>
      <c r="F14" s="30">
        <v>147.24386596679688</v>
      </c>
      <c r="G14" s="30">
        <v>149.95686340332031</v>
      </c>
      <c r="H14" s="30">
        <v>150.90638732910156</v>
      </c>
      <c r="I14" s="30">
        <v>148.60748291015625</v>
      </c>
      <c r="J14" s="30">
        <v>150.26107788085938</v>
      </c>
      <c r="K14" s="30">
        <v>153.86930847167969</v>
      </c>
      <c r="L14" s="30">
        <v>150.8494873046875</v>
      </c>
      <c r="M14" s="30">
        <v>160.39901733398438</v>
      </c>
      <c r="N14" s="30">
        <v>156.91822814941406</v>
      </c>
      <c r="O14" s="28">
        <f t="shared" si="0"/>
        <v>4.0829915616588761E-2</v>
      </c>
      <c r="P14" s="28">
        <f t="shared" si="1"/>
        <v>4.430389001889818E-2</v>
      </c>
      <c r="Q14" s="206"/>
    </row>
    <row r="15" spans="1:17" ht="18" customHeight="1">
      <c r="A15" s="174"/>
      <c r="B15" s="35" t="s">
        <v>187</v>
      </c>
      <c r="C15" s="31"/>
      <c r="D15" s="31">
        <v>62.785037994384766</v>
      </c>
      <c r="E15" s="31">
        <v>62.441120147705078</v>
      </c>
      <c r="F15" s="31">
        <v>66.446861267089844</v>
      </c>
      <c r="G15" s="31">
        <v>66.537910461425781</v>
      </c>
      <c r="H15" s="31">
        <v>62.118190765380859</v>
      </c>
      <c r="I15" s="31">
        <v>55.45294189453125</v>
      </c>
      <c r="J15" s="31">
        <v>71.650550842285156</v>
      </c>
      <c r="K15" s="31">
        <v>67.159004211425781</v>
      </c>
      <c r="L15" s="31">
        <v>61.75811767578125</v>
      </c>
      <c r="M15" s="31">
        <v>72.512718200683594</v>
      </c>
      <c r="N15" s="31">
        <v>49.706645965576172</v>
      </c>
      <c r="O15" s="28">
        <f t="shared" si="0"/>
        <v>-0.20830427832150505</v>
      </c>
      <c r="P15" s="28">
        <f t="shared" si="1"/>
        <v>-0.30626289147464042</v>
      </c>
      <c r="Q15" s="206"/>
    </row>
    <row r="16" spans="1:17" ht="18" customHeight="1">
      <c r="A16" s="174"/>
      <c r="B16" s="35" t="s">
        <v>193</v>
      </c>
      <c r="C16" s="31"/>
      <c r="D16" s="31">
        <f ca="1">165.7769375*OFFSET(D$112,MATCH($N$1,$C$112:$C$113,0)-1,0)</f>
        <v>165.7769375</v>
      </c>
      <c r="E16" s="31">
        <f ca="1">196.465046875*OFFSET(E$112,MATCH($N$1,$C$112:$C$113,0)-1,0)</f>
        <v>196.46504687500001</v>
      </c>
      <c r="F16" s="31">
        <f ca="1">220.232109375*OFFSET(F$112,MATCH($N$1,$C$112:$C$113,0)-1,0)</f>
        <v>220.23210937499999</v>
      </c>
      <c r="G16" s="31">
        <f ca="1">196.885140625*OFFSET(G$112,MATCH($N$1,$C$112:$C$113,0)-1,0)</f>
        <v>196.88514062499999</v>
      </c>
      <c r="H16" s="31">
        <f ca="1">193.257234375*OFFSET(H$112,MATCH($N$1,$C$112:$C$113,0)-1,0)</f>
        <v>193.257234375</v>
      </c>
      <c r="I16" s="31">
        <f ca="1">174.28934375*OFFSET(I$112,MATCH($N$1,$C$112:$C$113,0)-1,0)</f>
        <v>174.28934375</v>
      </c>
      <c r="J16" s="31">
        <f ca="1">207.590109375*OFFSET(J$112,MATCH($N$1,$C$112:$C$113,0)-1,0)</f>
        <v>207.590109375</v>
      </c>
      <c r="K16" s="31">
        <f ca="1">194.67153125*OFFSET(K$112,MATCH($N$1,$C$112:$C$113,0)-1,0)</f>
        <v>194.67153124999999</v>
      </c>
      <c r="L16" s="31">
        <f ca="1">188.2074375*OFFSET(L$112,MATCH($N$1,$C$112:$C$113,0)-1,0)</f>
        <v>188.2074375</v>
      </c>
      <c r="M16" s="31">
        <f ca="1">212.943203125*OFFSET(M$112,MATCH($N$1,$C$112:$C$113,0)-1,0)</f>
        <v>212.943203125</v>
      </c>
      <c r="N16" s="31">
        <v>110.676984375</v>
      </c>
      <c r="O16" s="28">
        <f t="shared" ca="1" si="0"/>
        <v>-0.33237405610174214</v>
      </c>
      <c r="P16" s="28">
        <f t="shared" ca="1" si="1"/>
        <v>-0.4668484702463922</v>
      </c>
      <c r="Q16" s="206"/>
    </row>
    <row r="17" spans="1:16" ht="18" customHeight="1">
      <c r="A17" s="174"/>
      <c r="B17" s="35" t="s">
        <v>189</v>
      </c>
      <c r="C17" s="30"/>
      <c r="D17" s="30">
        <v>168.83653259277344</v>
      </c>
      <c r="E17" s="30">
        <v>159.18084716796875</v>
      </c>
      <c r="F17" s="30">
        <v>166.16162109375</v>
      </c>
      <c r="G17" s="30">
        <v>159.84375</v>
      </c>
      <c r="H17" s="30">
        <v>161.5</v>
      </c>
      <c r="I17" s="30">
        <v>152.34831237792969</v>
      </c>
      <c r="J17" s="30">
        <v>158.65432739257813</v>
      </c>
      <c r="K17" s="30">
        <v>152.10810852050781</v>
      </c>
      <c r="L17" s="30">
        <v>155.7213134765625</v>
      </c>
      <c r="M17" s="30">
        <v>162.88333129882813</v>
      </c>
      <c r="N17" s="30">
        <v>129.49057006835938</v>
      </c>
      <c r="O17" s="28">
        <f t="shared" si="0"/>
        <v>-0.23304175891431542</v>
      </c>
      <c r="P17" s="28">
        <f t="shared" si="1"/>
        <v>-0.18381948859204603</v>
      </c>
    </row>
    <row r="18" spans="1:16" ht="18" customHeight="1">
      <c r="A18" s="174"/>
      <c r="B18" s="35" t="s">
        <v>194</v>
      </c>
      <c r="C18" s="30"/>
      <c r="D18" s="30">
        <v>33.048076629638672</v>
      </c>
      <c r="E18" s="30">
        <v>34.553192138671875</v>
      </c>
      <c r="F18" s="30">
        <v>35.010101318359375</v>
      </c>
      <c r="G18" s="30">
        <v>35.78125</v>
      </c>
      <c r="H18" s="30">
        <v>36.811111450195313</v>
      </c>
      <c r="I18" s="30">
        <v>38.348316192626953</v>
      </c>
      <c r="J18" s="30">
        <v>38.740741729736328</v>
      </c>
      <c r="K18" s="30">
        <v>39.648647308349609</v>
      </c>
      <c r="L18" s="30">
        <v>40.213115692138672</v>
      </c>
      <c r="M18" s="30">
        <v>41.266666412353516</v>
      </c>
      <c r="N18" s="30">
        <v>41.830188751220703</v>
      </c>
      <c r="O18" s="28">
        <f t="shared" si="0"/>
        <v>0.26573746545074051</v>
      </c>
      <c r="P18" s="28">
        <f t="shared" si="1"/>
        <v>7.9746718404025821E-2</v>
      </c>
    </row>
    <row r="19" spans="1:16" ht="18" customHeight="1">
      <c r="A19" s="174"/>
      <c r="B19" s="35" t="s">
        <v>195</v>
      </c>
      <c r="C19" s="36"/>
      <c r="D19" s="36">
        <v>0.3718687891960144</v>
      </c>
      <c r="E19" s="36">
        <v>0.39226529002189636</v>
      </c>
      <c r="F19" s="36">
        <v>0.39989295601844788</v>
      </c>
      <c r="G19" s="36">
        <v>0.41626843810081482</v>
      </c>
      <c r="H19" s="36">
        <v>0.38463276624679565</v>
      </c>
      <c r="I19" s="36">
        <v>0.36398789286613464</v>
      </c>
      <c r="J19" s="36">
        <v>0.45161423087120056</v>
      </c>
      <c r="K19" s="36">
        <v>0.44152152538299561</v>
      </c>
      <c r="L19" s="36">
        <v>0.39659386873245239</v>
      </c>
      <c r="M19" s="36">
        <v>0.44518193602561951</v>
      </c>
      <c r="N19" s="36">
        <v>0.38386306166648865</v>
      </c>
      <c r="O19" s="28">
        <f t="shared" si="0"/>
        <v>3.2254044488127201E-2</v>
      </c>
      <c r="P19" s="28">
        <f t="shared" si="1"/>
        <v>-0.15002000506940272</v>
      </c>
    </row>
    <row r="20" spans="1:16" ht="18" customHeight="1">
      <c r="A20" s="175"/>
      <c r="B20" s="37" t="s">
        <v>196</v>
      </c>
      <c r="C20" s="38"/>
      <c r="D20" s="38">
        <f ca="1">2640*OFFSET(D$112,MATCH($N$1,$C$112:$C$113,0)-1,0)</f>
        <v>2640</v>
      </c>
      <c r="E20" s="38">
        <f ca="1">3146*OFFSET(E$112,MATCH($N$1,$C$112:$C$113,0)-1,0)</f>
        <v>3146</v>
      </c>
      <c r="F20" s="38">
        <f ca="1">3314*OFFSET(F$112,MATCH($N$1,$C$112:$C$113,0)-1,0)</f>
        <v>3314</v>
      </c>
      <c r="G20" s="38">
        <f ca="1">2959*OFFSET(G$112,MATCH($N$1,$C$112:$C$113,0)-1,0)</f>
        <v>2959</v>
      </c>
      <c r="H20" s="38">
        <f ca="1">3111*OFFSET(H$112,MATCH($N$1,$C$112:$C$113,0)-1,0)</f>
        <v>3111</v>
      </c>
      <c r="I20" s="38">
        <f ca="1">3143*OFFSET(I$112,MATCH($N$1,$C$112:$C$113,0)-1,0)</f>
        <v>3143</v>
      </c>
      <c r="J20" s="38">
        <f ca="1">2897*OFFSET(J$112,MATCH($N$1,$C$112:$C$113,0)-1,0)</f>
        <v>2897</v>
      </c>
      <c r="K20" s="38">
        <f ca="1">2899*OFFSET(K$112,MATCH($N$1,$C$112:$C$113,0)-1,0)</f>
        <v>2899</v>
      </c>
      <c r="L20" s="38">
        <f ca="1">3047*OFFSET(L$112,MATCH($N$1,$C$112:$C$113,0)-1,0)</f>
        <v>3047</v>
      </c>
      <c r="M20" s="38">
        <f ca="1">2937*OFFSET(M$112,MATCH($N$1,$C$112:$C$113,0)-1,0)</f>
        <v>2937</v>
      </c>
      <c r="N20" s="38">
        <v>2227</v>
      </c>
      <c r="O20" s="32">
        <f t="shared" ca="1" si="0"/>
        <v>-0.15643939393939393</v>
      </c>
      <c r="P20" s="32">
        <f t="shared" ca="1" si="1"/>
        <v>-0.23127373144632379</v>
      </c>
    </row>
    <row r="21" spans="1:16" ht="18" customHeight="1">
      <c r="A21" s="176" t="s">
        <v>197</v>
      </c>
      <c r="B21" s="33" t="s">
        <v>198</v>
      </c>
      <c r="C21" s="39"/>
      <c r="D21" s="39">
        <v>2.2027638449974534</v>
      </c>
      <c r="E21" s="39">
        <v>2.3455897512904103</v>
      </c>
      <c r="F21" s="39">
        <v>2.4334448649644824</v>
      </c>
      <c r="G21" s="39">
        <v>2.4824047124425221</v>
      </c>
      <c r="H21" s="39">
        <v>2.3154563733374309</v>
      </c>
      <c r="I21" s="39">
        <v>2.2142812605066986</v>
      </c>
      <c r="J21" s="39">
        <v>2.6469764598383465</v>
      </c>
      <c r="K21" s="39">
        <v>2.6222704447335929</v>
      </c>
      <c r="L21" s="39">
        <v>2.403754053084084</v>
      </c>
      <c r="M21" s="39">
        <v>2.5658788375863795</v>
      </c>
      <c r="N21" s="39">
        <v>2.2614042509020362</v>
      </c>
      <c r="O21" s="28">
        <f t="shared" si="0"/>
        <v>2.6621285816796514E-2</v>
      </c>
      <c r="P21" s="28">
        <f t="shared" si="1"/>
        <v>-0.14566514466088509</v>
      </c>
    </row>
    <row r="22" spans="1:16" ht="18" customHeight="1">
      <c r="A22" s="176"/>
      <c r="B22" s="35" t="s">
        <v>199</v>
      </c>
      <c r="C22" s="36"/>
      <c r="D22" s="36">
        <f ca="1">5.81615391061898*OFFSET(D$112,MATCH($N$1,$C$112:$C$113,0)-1,0)</f>
        <v>5.8161539106189801</v>
      </c>
      <c r="E22" s="36">
        <f ca="1">7.38017510491005*OFFSET(E$112,MATCH($N$1,$C$112:$C$113,0)-1,0)</f>
        <v>7.3801751049100499</v>
      </c>
      <c r="F22" s="36">
        <f ca="1">8.06543282014021*OFFSET(F$112,MATCH($N$1,$C$112:$C$113,0)-1,0)</f>
        <v>8.0654328201402095</v>
      </c>
      <c r="G22" s="36">
        <f ca="1">7.34541553090628*OFFSET(G$112,MATCH($N$1,$C$112:$C$113,0)-1,0)</f>
        <v>7.3454155309062799</v>
      </c>
      <c r="H22" s="36">
        <f ca="1">7.20366593929429*OFFSET(H$112,MATCH($N$1,$C$112:$C$113,0)-1,0)</f>
        <v>7.2036659392942903</v>
      </c>
      <c r="I22" s="36">
        <f ca="1">6.95951584508621*OFFSET(I$112,MATCH($N$1,$C$112:$C$113,0)-1,0)</f>
        <v>6.9595158450862096</v>
      </c>
      <c r="J22" s="36">
        <f ca="1">7.668972901833*OFFSET(J$112,MATCH($N$1,$C$112:$C$113,0)-1,0)</f>
        <v>7.6689729018330004</v>
      </c>
      <c r="K22" s="36">
        <f ca="1">7.60108653816309*OFFSET(K$112,MATCH($N$1,$C$112:$C$113,0)-1,0)</f>
        <v>7.6010865381630897</v>
      </c>
      <c r="L22" s="36">
        <f ca="1">7.32542389141836*OFFSET(L$112,MATCH($N$1,$C$112:$C$113,0)-1,0)</f>
        <v>7.3254238914183603</v>
      </c>
      <c r="M22" s="36">
        <f ca="1">7.53504312159607*OFFSET(M$112,MATCH($N$1,$C$112:$C$113,0)-1,0)</f>
        <v>7.53504312159607</v>
      </c>
      <c r="N22" s="36">
        <v>5.0352502785236375</v>
      </c>
      <c r="O22" s="28">
        <f t="shared" ca="1" si="0"/>
        <v>-0.1342646092410982</v>
      </c>
      <c r="P22" s="28">
        <f t="shared" ca="1" si="1"/>
        <v>-0.34342573080156058</v>
      </c>
    </row>
    <row r="23" spans="1:16" ht="18" customHeight="1">
      <c r="A23" s="176"/>
      <c r="B23" s="35" t="s">
        <v>154</v>
      </c>
      <c r="C23" s="36"/>
      <c r="D23" s="36">
        <f ca="1">4.98953863364931*OFFSET(D$112,MATCH($N$1,$C$112:$C$113,0)-1,0)</f>
        <v>4.9895386336493104</v>
      </c>
      <c r="E23" s="36">
        <f ca="1">6.19294342377848*OFFSET(E$112,MATCH($N$1,$C$112:$C$113,0)-1,0)</f>
        <v>6.1929434237784804</v>
      </c>
      <c r="F23" s="36">
        <f ca="1">6.68725894561621*OFFSET(F$112,MATCH($N$1,$C$112:$C$113,0)-1,0)</f>
        <v>6.6872589456162101</v>
      </c>
      <c r="G23" s="36">
        <f ca="1">6.48934710926151*OFFSET(G$112,MATCH($N$1,$C$112:$C$113,0)-1,0)</f>
        <v>6.4893471092615096</v>
      </c>
      <c r="H23" s="36">
        <f ca="1">6.3989215581567*OFFSET(H$112,MATCH($N$1,$C$112:$C$113,0)-1,0)</f>
        <v>6.3989215581567001</v>
      </c>
      <c r="I23" s="36">
        <f ca="1">5.72157580963045*OFFSET(I$112,MATCH($N$1,$C$112:$C$113,0)-1,0)</f>
        <v>5.7215758096304503</v>
      </c>
      <c r="J23" s="36">
        <f ca="1">6.33065032786791*OFFSET(J$112,MATCH($N$1,$C$112:$C$113,0)-1,0)</f>
        <v>6.33065032786791</v>
      </c>
      <c r="K23" s="36">
        <f ca="1">6.41196239044802*OFFSET(K$112,MATCH($N$1,$C$112:$C$113,0)-1,0)</f>
        <v>6.4119623904480196</v>
      </c>
      <c r="L23" s="36">
        <f ca="1">6.34321784563429*OFFSET(L$112,MATCH($N$1,$C$112:$C$113,0)-1,0)</f>
        <v>6.3432178456342898</v>
      </c>
      <c r="M23" s="36">
        <f ca="1">6.57402394012613*OFFSET(M$112,MATCH($N$1,$C$112:$C$113,0)-1,0)</f>
        <v>6.5740239401261302</v>
      </c>
      <c r="N23" s="36">
        <v>5.5389396532045287</v>
      </c>
      <c r="O23" s="28">
        <f t="shared" ca="1" si="0"/>
        <v>0.11011058534552134</v>
      </c>
      <c r="P23" s="28">
        <f t="shared" ca="1" si="1"/>
        <v>-0.12505992807377506</v>
      </c>
    </row>
    <row r="24" spans="1:16" ht="18" customHeight="1">
      <c r="A24" s="176"/>
      <c r="B24" s="35" t="s">
        <v>155</v>
      </c>
      <c r="C24" s="36"/>
      <c r="D24" s="36">
        <f ca="1">0.933183549312545*OFFSET(D$112,MATCH($N$1,$C$112:$C$113,0)-1,0)</f>
        <v>0.93318354931254499</v>
      </c>
      <c r="E24" s="36">
        <f ca="1">1.32358384278182*OFFSET(E$112,MATCH($N$1,$C$112:$C$113,0)-1,0)</f>
        <v>1.3235838427818201</v>
      </c>
      <c r="F24" s="36">
        <f ca="1">1.84579514891699*OFFSET(F$112,MATCH($N$1,$C$112:$C$113,0)-1,0)</f>
        <v>1.8457951489169899</v>
      </c>
      <c r="G24" s="36">
        <f ca="1">1.19826149964674*OFFSET(G$112,MATCH($N$1,$C$112:$C$113,0)-1,0)</f>
        <v>1.19826149964674</v>
      </c>
      <c r="H24" s="36">
        <f ca="1">1.31033523268454*OFFSET(H$112,MATCH($N$1,$C$112:$C$113,0)-1,0)</f>
        <v>1.3103352326845401</v>
      </c>
      <c r="I24" s="36">
        <f ca="1">1.4154393594785*OFFSET(I$112,MATCH($N$1,$C$112:$C$113,0)-1,0)</f>
        <v>1.4154393594785</v>
      </c>
      <c r="J24" s="36">
        <f ca="1">1.61002407058396*OFFSET(J$112,MATCH($N$1,$C$112:$C$113,0)-1,0)</f>
        <v>1.6100240705839599</v>
      </c>
      <c r="K24" s="36">
        <f ca="1">1.35465248982314*OFFSET(K$112,MATCH($N$1,$C$112:$C$113,0)-1,0)</f>
        <v>1.35465248982314</v>
      </c>
      <c r="L24" s="36">
        <f ca="1">1.05743818707059*OFFSET(L$112,MATCH($N$1,$C$112:$C$113,0)-1,0)</f>
        <v>1.05743818707059</v>
      </c>
      <c r="M24" s="36">
        <f ca="1">0.993234027095683*OFFSET(M$112,MATCH($N$1,$C$112:$C$113,0)-1,0)</f>
        <v>0.99323402709568298</v>
      </c>
      <c r="N24" s="36">
        <v>-2.5718288535560123E-2</v>
      </c>
      <c r="O24" s="28">
        <f t="shared" ca="1" si="0"/>
        <v>-1.027559732010392</v>
      </c>
      <c r="P24" s="28">
        <f t="shared" ca="1" si="1"/>
        <v>-1.0159738534382483</v>
      </c>
    </row>
    <row r="25" spans="1:16" ht="18" customHeight="1">
      <c r="A25" s="176"/>
      <c r="B25" s="35" t="s">
        <v>200</v>
      </c>
      <c r="C25" s="31"/>
      <c r="D25" s="31">
        <f ca="1">35.3*OFFSET(D$112,MATCH($N$1,$C$112:$C$113,0)-1,0)</f>
        <v>35.299999999999997</v>
      </c>
      <c r="E25" s="31">
        <f ca="1">46.77*OFFSET(E$112,MATCH($N$1,$C$112:$C$113,0)-1,0)</f>
        <v>46.77</v>
      </c>
      <c r="F25" s="31">
        <f ca="1">46.28*OFFSET(F$112,MATCH($N$1,$C$112:$C$113,0)-1,0)</f>
        <v>46.28</v>
      </c>
      <c r="G25" s="31">
        <f ca="1">58.46*OFFSET(G$112,MATCH($N$1,$C$112:$C$113,0)-1,0)</f>
        <v>58.46</v>
      </c>
      <c r="H25" s="31">
        <f ca="1">49.75*OFFSET(H$112,MATCH($N$1,$C$112:$C$113,0)-1,0)</f>
        <v>49.75</v>
      </c>
      <c r="I25" s="31">
        <f ca="1">43.79*OFFSET(I$112,MATCH($N$1,$C$112:$C$113,0)-1,0)</f>
        <v>43.79</v>
      </c>
      <c r="J25" s="31">
        <f ca="1">55.01*OFFSET(J$112,MATCH($N$1,$C$112:$C$113,0)-1,0)</f>
        <v>55.01</v>
      </c>
      <c r="K25" s="31">
        <f ca="1">50.9*OFFSET(K$112,MATCH($N$1,$C$112:$C$113,0)-1,0)</f>
        <v>50.9</v>
      </c>
      <c r="L25" s="31">
        <f ca="1">40.21*OFFSET(L$112,MATCH($N$1,$C$112:$C$113,0)-1,0)</f>
        <v>40.21</v>
      </c>
      <c r="M25" s="31">
        <f ca="1">55.09*OFFSET(M$112,MATCH($N$1,$C$112:$C$113,0)-1,0)</f>
        <v>55.09</v>
      </c>
      <c r="N25" s="31">
        <v>38.39</v>
      </c>
      <c r="O25" s="28">
        <f t="shared" ca="1" si="0"/>
        <v>8.7535410764872632E-2</v>
      </c>
      <c r="P25" s="28">
        <f t="shared" ca="1" si="1"/>
        <v>-0.30212688602072346</v>
      </c>
    </row>
    <row r="26" spans="1:16" ht="18" customHeight="1">
      <c r="A26" s="177"/>
      <c r="B26" s="35" t="s">
        <v>201</v>
      </c>
      <c r="C26" s="31"/>
      <c r="D26" s="31">
        <f ca="1">5.66*OFFSET(D$112,MATCH($N$1,$C$112:$C$113,0)-1,0)</f>
        <v>5.66</v>
      </c>
      <c r="E26" s="31">
        <f ca="1">8.38*OFFSET(E$112,MATCH($N$1,$C$112:$C$113,0)-1,0)</f>
        <v>8.3800000000000008</v>
      </c>
      <c r="F26" s="31">
        <f ca="1">10.59*OFFSET(F$112,MATCH($N$1,$C$112:$C$113,0)-1,0)</f>
        <v>10.59</v>
      </c>
      <c r="G26" s="31">
        <f ca="1">9.53*OFFSET(G$112,MATCH($N$1,$C$112:$C$113,0)-1,0)</f>
        <v>9.5299999999999994</v>
      </c>
      <c r="H26" s="31">
        <f ca="1">9.06*OFFSET(H$112,MATCH($N$1,$C$112:$C$113,0)-1,0)</f>
        <v>9.06</v>
      </c>
      <c r="I26" s="31">
        <f ca="1">8.89*OFFSET(I$112,MATCH($N$1,$C$112:$C$113,0)-1,0)</f>
        <v>8.89</v>
      </c>
      <c r="J26" s="31">
        <f ca="1">11.55*OFFSET(J$112,MATCH($N$1,$C$112:$C$113,0)-1,0)</f>
        <v>11.55</v>
      </c>
      <c r="K26" s="31">
        <f ca="1">9.07*OFFSET(K$112,MATCH($N$1,$C$112:$C$113,0)-1,0)</f>
        <v>9.07</v>
      </c>
      <c r="L26" s="31">
        <f ca="1">5.81*OFFSET(L$112,MATCH($N$1,$C$112:$C$113,0)-1,0)</f>
        <v>5.81</v>
      </c>
      <c r="M26" s="31">
        <f ca="1">7.27*OFFSET(M$112,MATCH($N$1,$C$112:$C$113,0)-1,0)</f>
        <v>7.27</v>
      </c>
      <c r="N26" s="31">
        <v>-0.21</v>
      </c>
      <c r="O26" s="32">
        <f t="shared" ca="1" si="0"/>
        <v>-1.0371024734982333</v>
      </c>
      <c r="P26" s="32">
        <f t="shared" ca="1" si="1"/>
        <v>-1.0181818181818183</v>
      </c>
    </row>
    <row r="27" spans="1:16" ht="18" customHeight="1">
      <c r="A27" s="166" t="s">
        <v>202</v>
      </c>
      <c r="B27" s="33" t="s">
        <v>193</v>
      </c>
      <c r="C27" s="34"/>
      <c r="D27" s="34">
        <f ca="1">165.8*OFFSET(D$112,MATCH($N$1,$C$112:$C$113,0)-1,0)</f>
        <v>165.8</v>
      </c>
      <c r="E27" s="34">
        <f ca="1">196.5*OFFSET(E$112,MATCH($N$1,$C$112:$C$113,0)-1,0)</f>
        <v>196.5</v>
      </c>
      <c r="F27" s="34">
        <f ca="1">220.2*OFFSET(F$112,MATCH($N$1,$C$112:$C$113,0)-1,0)</f>
        <v>220.2</v>
      </c>
      <c r="G27" s="34">
        <f ca="1">196.9*OFFSET(G$112,MATCH($N$1,$C$112:$C$113,0)-1,0)</f>
        <v>196.9</v>
      </c>
      <c r="H27" s="34">
        <f ca="1">193.3*OFFSET(H$112,MATCH($N$1,$C$112:$C$113,0)-1,0)</f>
        <v>193.3</v>
      </c>
      <c r="I27" s="34">
        <f ca="1">174.3*OFFSET(I$112,MATCH($N$1,$C$112:$C$113,0)-1,0)</f>
        <v>174.3</v>
      </c>
      <c r="J27" s="34">
        <f ca="1">207.6*OFFSET(J$112,MATCH($N$1,$C$112:$C$113,0)-1,0)</f>
        <v>207.6</v>
      </c>
      <c r="K27" s="34">
        <f ca="1">194.7*OFFSET(K$112,MATCH($N$1,$C$112:$C$113,0)-1,0)</f>
        <v>194.7</v>
      </c>
      <c r="L27" s="34">
        <f ca="1">188.2*OFFSET(L$112,MATCH($N$1,$C$112:$C$113,0)-1,0)</f>
        <v>188.2</v>
      </c>
      <c r="M27" s="34">
        <f ca="1">212.9*OFFSET(M$112,MATCH($N$1,$C$112:$C$113,0)-1,0)</f>
        <v>212.9</v>
      </c>
      <c r="N27" s="34">
        <v>110.7</v>
      </c>
      <c r="O27" s="28">
        <f t="shared" ca="1" si="0"/>
        <v>-0.33232810615199038</v>
      </c>
      <c r="P27" s="28">
        <f t="shared" ca="1" si="1"/>
        <v>-0.4667630057803468</v>
      </c>
    </row>
    <row r="28" spans="1:16" ht="18" customHeight="1">
      <c r="A28" s="178"/>
      <c r="B28" s="35" t="s">
        <v>203</v>
      </c>
      <c r="C28" s="31"/>
      <c r="D28" s="31">
        <f ca="1">3*OFFSET(D$112,MATCH($N$1,$C$112:$C$113,0)-1,0)</f>
        <v>3</v>
      </c>
      <c r="E28" s="31">
        <f ca="1">3.6*OFFSET(E$112,MATCH($N$1,$C$112:$C$113,0)-1,0)</f>
        <v>3.6</v>
      </c>
      <c r="F28" s="31">
        <f ca="1">12.8*OFFSET(F$112,MATCH($N$1,$C$112:$C$113,0)-1,0)</f>
        <v>12.8</v>
      </c>
      <c r="G28" s="31">
        <f ca="1">9.2*OFFSET(G$112,MATCH($N$1,$C$112:$C$113,0)-1,0)</f>
        <v>9.1999999999999993</v>
      </c>
      <c r="H28" s="31">
        <f ca="1">13.6*OFFSET(H$112,MATCH($N$1,$C$112:$C$113,0)-1,0)</f>
        <v>13.6</v>
      </c>
      <c r="I28" s="31">
        <f ca="1">4.4*OFFSET(I$112,MATCH($N$1,$C$112:$C$113,0)-1,0)</f>
        <v>4.4000000000000004</v>
      </c>
      <c r="J28" s="31">
        <f ca="1">7.4*OFFSET(J$112,MATCH($N$1,$C$112:$C$113,0)-1,0)</f>
        <v>7.4</v>
      </c>
      <c r="K28" s="31">
        <f ca="1">4.2*OFFSET(K$112,MATCH($N$1,$C$112:$C$113,0)-1,0)</f>
        <v>4.2</v>
      </c>
      <c r="L28" s="31">
        <f ca="1">1.9*OFFSET(L$112,MATCH($N$1,$C$112:$C$113,0)-1,0)</f>
        <v>1.9</v>
      </c>
      <c r="M28" s="31">
        <f ca="1">0.9*OFFSET(M$112,MATCH($N$1,$C$112:$C$113,0)-1,0)</f>
        <v>0.9</v>
      </c>
      <c r="N28" s="31">
        <v>10.5</v>
      </c>
      <c r="O28" s="28">
        <f t="shared" ca="1" si="0"/>
        <v>2.5</v>
      </c>
      <c r="P28" s="28">
        <f t="shared" ca="1" si="1"/>
        <v>0.41891891891891886</v>
      </c>
    </row>
    <row r="29" spans="1:16" ht="18" customHeight="1">
      <c r="A29" s="178"/>
      <c r="B29" s="40" t="s">
        <v>204</v>
      </c>
      <c r="C29" s="41"/>
      <c r="D29" s="41">
        <f ca="1">168.8*OFFSET(D$112,MATCH($N$1,$C$112:$C$113,0)-1,0)</f>
        <v>168.8</v>
      </c>
      <c r="E29" s="41">
        <f ca="1">200.1*OFFSET(E$112,MATCH($N$1,$C$112:$C$113,0)-1,0)</f>
        <v>200.1</v>
      </c>
      <c r="F29" s="41">
        <f ca="1">233*OFFSET(F$112,MATCH($N$1,$C$112:$C$113,0)-1,0)</f>
        <v>233</v>
      </c>
      <c r="G29" s="41">
        <f ca="1">206.1*OFFSET(G$112,MATCH($N$1,$C$112:$C$113,0)-1,0)</f>
        <v>206.1</v>
      </c>
      <c r="H29" s="41">
        <f ca="1">206.8*OFFSET(H$112,MATCH($N$1,$C$112:$C$113,0)-1,0)</f>
        <v>206.8</v>
      </c>
      <c r="I29" s="41">
        <f ca="1">178.7*OFFSET(I$112,MATCH($N$1,$C$112:$C$113,0)-1,0)</f>
        <v>178.7</v>
      </c>
      <c r="J29" s="41">
        <f ca="1">214.9*OFFSET(J$112,MATCH($N$1,$C$112:$C$113,0)-1,0)</f>
        <v>214.9</v>
      </c>
      <c r="K29" s="41">
        <f ca="1">198.9*OFFSET(K$112,MATCH($N$1,$C$112:$C$113,0)-1,0)</f>
        <v>198.9</v>
      </c>
      <c r="L29" s="41">
        <f ca="1">190.1*OFFSET(L$112,MATCH($N$1,$C$112:$C$113,0)-1,0)</f>
        <v>190.1</v>
      </c>
      <c r="M29" s="41">
        <f ca="1">213.9*OFFSET(M$112,MATCH($N$1,$C$112:$C$113,0)-1,0)</f>
        <v>213.9</v>
      </c>
      <c r="N29" s="41">
        <v>121.2</v>
      </c>
      <c r="O29" s="28">
        <f t="shared" ca="1" si="0"/>
        <v>-0.28199052132701424</v>
      </c>
      <c r="P29" s="28">
        <f t="shared" ca="1" si="1"/>
        <v>-0.43601675197766404</v>
      </c>
    </row>
    <row r="30" spans="1:16" ht="18" customHeight="1">
      <c r="A30" s="178"/>
      <c r="B30" s="35" t="s">
        <v>205</v>
      </c>
      <c r="C30" s="31"/>
      <c r="D30" s="31">
        <f ca="1">35.3*OFFSET(D$112,MATCH($N$1,$C$112:$C$113,0)-1,0)</f>
        <v>35.299999999999997</v>
      </c>
      <c r="E30" s="31">
        <f ca="1">43*OFFSET(E$112,MATCH($N$1,$C$112:$C$113,0)-1,0)</f>
        <v>43</v>
      </c>
      <c r="F30" s="31">
        <f ca="1">45.1*OFFSET(F$112,MATCH($N$1,$C$112:$C$113,0)-1,0)</f>
        <v>45.1</v>
      </c>
      <c r="G30" s="31">
        <f ca="1">42.2*OFFSET(G$112,MATCH($N$1,$C$112:$C$113,0)-1,0)</f>
        <v>42.2</v>
      </c>
      <c r="H30" s="31">
        <f ca="1">38.3*OFFSET(H$112,MATCH($N$1,$C$112:$C$113,0)-1,0)</f>
        <v>38.299999999999997</v>
      </c>
      <c r="I30" s="31">
        <f ca="1">24.5*OFFSET(I$112,MATCH($N$1,$C$112:$C$113,0)-1,0)</f>
        <v>24.5</v>
      </c>
      <c r="J30" s="31">
        <f ca="1">24.4*OFFSET(J$112,MATCH($N$1,$C$112:$C$113,0)-1,0)</f>
        <v>24.4</v>
      </c>
      <c r="K30" s="31">
        <f ca="1">28.7*OFFSET(K$112,MATCH($N$1,$C$112:$C$113,0)-1,0)</f>
        <v>28.7</v>
      </c>
      <c r="L30" s="31">
        <f ca="1">33.6*OFFSET(L$112,MATCH($N$1,$C$112:$C$113,0)-1,0)</f>
        <v>33.6</v>
      </c>
      <c r="M30" s="31">
        <f ca="1">36.4*OFFSET(M$112,MATCH($N$1,$C$112:$C$113,0)-1,0)</f>
        <v>36.4</v>
      </c>
      <c r="N30" s="31">
        <v>21</v>
      </c>
      <c r="O30" s="28">
        <f t="shared" ca="1" si="0"/>
        <v>-0.40509915014164299</v>
      </c>
      <c r="P30" s="28">
        <f t="shared" ca="1" si="1"/>
        <v>-0.13934426229508193</v>
      </c>
    </row>
    <row r="31" spans="1:16" ht="18" customHeight="1">
      <c r="A31" s="178"/>
      <c r="B31" s="35" t="s">
        <v>206</v>
      </c>
      <c r="C31" s="31"/>
      <c r="D31" s="31">
        <f ca="1">40.8*OFFSET(D$112,MATCH($N$1,$C$112:$C$113,0)-1,0)</f>
        <v>40.799999999999997</v>
      </c>
      <c r="E31" s="31">
        <f ca="1">47.9*OFFSET(E$112,MATCH($N$1,$C$112:$C$113,0)-1,0)</f>
        <v>47.9</v>
      </c>
      <c r="F31" s="31">
        <f ca="1">54.5*OFFSET(F$112,MATCH($N$1,$C$112:$C$113,0)-1,0)</f>
        <v>54.5</v>
      </c>
      <c r="G31" s="31">
        <f ca="1">51.6*OFFSET(G$112,MATCH($N$1,$C$112:$C$113,0)-1,0)</f>
        <v>51.6</v>
      </c>
      <c r="H31" s="31">
        <f ca="1">54.3*OFFSET(H$112,MATCH($N$1,$C$112:$C$113,0)-1,0)</f>
        <v>54.3</v>
      </c>
      <c r="I31" s="31">
        <f ca="1">47.6*OFFSET(I$112,MATCH($N$1,$C$112:$C$113,0)-1,0)</f>
        <v>47.6</v>
      </c>
      <c r="J31" s="31">
        <f ca="1">64.7*OFFSET(J$112,MATCH($N$1,$C$112:$C$113,0)-1,0)</f>
        <v>64.7</v>
      </c>
      <c r="K31" s="31">
        <f ca="1">60.4*OFFSET(K$112,MATCH($N$1,$C$112:$C$113,0)-1,0)</f>
        <v>60.4</v>
      </c>
      <c r="L31" s="31">
        <f ca="1">58.4*OFFSET(L$112,MATCH($N$1,$C$112:$C$113,0)-1,0)</f>
        <v>58.4</v>
      </c>
      <c r="M31" s="31">
        <f ca="1">65.5*OFFSET(M$112,MATCH($N$1,$C$112:$C$113,0)-1,0)</f>
        <v>65.5</v>
      </c>
      <c r="N31" s="31">
        <v>33.200000000000003</v>
      </c>
      <c r="O31" s="28">
        <f t="shared" ca="1" si="0"/>
        <v>-0.18627450980392143</v>
      </c>
      <c r="P31" s="28">
        <f t="shared" ca="1" si="1"/>
        <v>-0.48686244204018547</v>
      </c>
    </row>
    <row r="32" spans="1:16" ht="18" customHeight="1">
      <c r="A32" s="178"/>
      <c r="B32" s="35" t="s">
        <v>207</v>
      </c>
      <c r="C32" s="31"/>
      <c r="D32" s="31">
        <f ca="1">27.7*OFFSET(D$112,MATCH($N$1,$C$112:$C$113,0)-1,0)</f>
        <v>27.7</v>
      </c>
      <c r="E32" s="31">
        <f ca="1">30.2*OFFSET(E$112,MATCH($N$1,$C$112:$C$113,0)-1,0)</f>
        <v>30.2</v>
      </c>
      <c r="F32" s="31">
        <f ca="1">30.9*OFFSET(F$112,MATCH($N$1,$C$112:$C$113,0)-1,0)</f>
        <v>30.9</v>
      </c>
      <c r="G32" s="31">
        <f ca="1">28.8*OFFSET(G$112,MATCH($N$1,$C$112:$C$113,0)-1,0)</f>
        <v>28.8</v>
      </c>
      <c r="H32" s="31">
        <f ca="1">27.5*OFFSET(H$112,MATCH($N$1,$C$112:$C$113,0)-1,0)</f>
        <v>27.5</v>
      </c>
      <c r="I32" s="31">
        <f ca="1">25.2*OFFSET(I$112,MATCH($N$1,$C$112:$C$113,0)-1,0)</f>
        <v>25.2</v>
      </c>
      <c r="J32" s="31">
        <f ca="1">27.8*OFFSET(J$112,MATCH($N$1,$C$112:$C$113,0)-1,0)</f>
        <v>27.8</v>
      </c>
      <c r="K32" s="31">
        <f ca="1">25.9*OFFSET(K$112,MATCH($N$1,$C$112:$C$113,0)-1,0)</f>
        <v>25.9</v>
      </c>
      <c r="L32" s="31">
        <f ca="1">20.3*OFFSET(L$112,MATCH($N$1,$C$112:$C$113,0)-1,0)</f>
        <v>20.3</v>
      </c>
      <c r="M32" s="31">
        <f ca="1">20.8*OFFSET(M$112,MATCH($N$1,$C$112:$C$113,0)-1,0)</f>
        <v>20.8</v>
      </c>
      <c r="N32" s="31">
        <v>10.8</v>
      </c>
      <c r="O32" s="28">
        <f t="shared" ca="1" si="0"/>
        <v>-0.61010830324909748</v>
      </c>
      <c r="P32" s="28">
        <f t="shared" ca="1" si="1"/>
        <v>-0.61151079136690645</v>
      </c>
    </row>
    <row r="33" spans="1:16" ht="18" customHeight="1">
      <c r="A33" s="178"/>
      <c r="B33" s="35" t="s">
        <v>208</v>
      </c>
      <c r="C33" s="31"/>
      <c r="D33" s="31">
        <f ca="1">103.8*OFFSET(D$112,MATCH($N$1,$C$112:$C$113,0)-1,0)</f>
        <v>103.8</v>
      </c>
      <c r="E33" s="31">
        <f ca="1">121.1*OFFSET(E$112,MATCH($N$1,$C$112:$C$113,0)-1,0)</f>
        <v>121.1</v>
      </c>
      <c r="F33" s="31">
        <f ca="1">130.5*OFFSET(F$112,MATCH($N$1,$C$112:$C$113,0)-1,0)</f>
        <v>130.5</v>
      </c>
      <c r="G33" s="31">
        <f ca="1">122.6*OFFSET(G$112,MATCH($N$1,$C$112:$C$113,0)-1,0)</f>
        <v>122.6</v>
      </c>
      <c r="H33" s="31">
        <f ca="1">120*OFFSET(H$112,MATCH($N$1,$C$112:$C$113,0)-1,0)</f>
        <v>120</v>
      </c>
      <c r="I33" s="31">
        <f ca="1">97.3*OFFSET(I$112,MATCH($N$1,$C$112:$C$113,0)-1,0)</f>
        <v>97.3</v>
      </c>
      <c r="J33" s="31">
        <f ca="1">116.9*OFFSET(J$112,MATCH($N$1,$C$112:$C$113,0)-1,0)</f>
        <v>116.9</v>
      </c>
      <c r="K33" s="31">
        <f ca="1">115*OFFSET(K$112,MATCH($N$1,$C$112:$C$113,0)-1,0)</f>
        <v>115</v>
      </c>
      <c r="L33" s="31">
        <f ca="1">112.3*OFFSET(L$112,MATCH($N$1,$C$112:$C$113,0)-1,0)</f>
        <v>112.3</v>
      </c>
      <c r="M33" s="31">
        <f ca="1">122.7*OFFSET(M$112,MATCH($N$1,$C$112:$C$113,0)-1,0)</f>
        <v>122.7</v>
      </c>
      <c r="N33" s="31">
        <v>65</v>
      </c>
      <c r="O33" s="28">
        <f t="shared" ca="1" si="0"/>
        <v>-0.37379576107899803</v>
      </c>
      <c r="P33" s="28">
        <f t="shared" ca="1" si="1"/>
        <v>-0.44396920444824639</v>
      </c>
    </row>
    <row r="34" spans="1:16" ht="18" customHeight="1">
      <c r="A34" s="178"/>
      <c r="B34" s="35" t="s">
        <v>209</v>
      </c>
      <c r="C34" s="31"/>
      <c r="D34" s="31">
        <f ca="1">38.4*OFFSET(D$112,MATCH($N$1,$C$112:$C$113,0)-1,0)</f>
        <v>38.4</v>
      </c>
      <c r="E34" s="31">
        <f ca="1">43.8*OFFSET(E$112,MATCH($N$1,$C$112:$C$113,0)-1,0)</f>
        <v>43.8</v>
      </c>
      <c r="F34" s="31">
        <f ca="1">52.1*OFFSET(F$112,MATCH($N$1,$C$112:$C$113,0)-1,0)</f>
        <v>52.1</v>
      </c>
      <c r="G34" s="31">
        <f ca="1">51.3*OFFSET(G$112,MATCH($N$1,$C$112:$C$113,0)-1,0)</f>
        <v>51.3</v>
      </c>
      <c r="H34" s="31">
        <f ca="1">51.7*OFFSET(H$112,MATCH($N$1,$C$112:$C$113,0)-1,0)</f>
        <v>51.7</v>
      </c>
      <c r="I34" s="31">
        <f ca="1">46*OFFSET(I$112,MATCH($N$1,$C$112:$C$113,0)-1,0)</f>
        <v>46</v>
      </c>
      <c r="J34" s="31">
        <f ca="1">54.4*OFFSET(J$112,MATCH($N$1,$C$112:$C$113,0)-1,0)</f>
        <v>54.4</v>
      </c>
      <c r="K34" s="31">
        <f ca="1">49.2*OFFSET(K$112,MATCH($N$1,$C$112:$C$113,0)-1,0)</f>
        <v>49.2</v>
      </c>
      <c r="L34" s="31">
        <f ca="1">50.7*OFFSET(L$112,MATCH($N$1,$C$112:$C$113,0)-1,0)</f>
        <v>50.7</v>
      </c>
      <c r="M34" s="31">
        <f ca="1">63.1*OFFSET(M$112,MATCH($N$1,$C$112:$C$113,0)-1,0)</f>
        <v>63.1</v>
      </c>
      <c r="N34" s="31">
        <v>56.800000000000004</v>
      </c>
      <c r="O34" s="28">
        <f t="shared" ca="1" si="0"/>
        <v>0.47916666666666685</v>
      </c>
      <c r="P34" s="28">
        <f t="shared" ca="1" si="1"/>
        <v>4.4117647058823636E-2</v>
      </c>
    </row>
    <row r="35" spans="1:16" ht="18" customHeight="1">
      <c r="A35" s="178"/>
      <c r="B35" s="35" t="s">
        <v>210</v>
      </c>
      <c r="C35" s="31"/>
      <c r="D35" s="31">
        <f ca="1">142.2*OFFSET(D$112,MATCH($N$1,$C$112:$C$113,0)-1,0)</f>
        <v>142.19999999999999</v>
      </c>
      <c r="E35" s="31">
        <f ca="1">164.9*OFFSET(E$112,MATCH($N$1,$C$112:$C$113,0)-1,0)</f>
        <v>164.9</v>
      </c>
      <c r="F35" s="31">
        <f ca="1">182.6*OFFSET(F$112,MATCH($N$1,$C$112:$C$113,0)-1,0)</f>
        <v>182.6</v>
      </c>
      <c r="G35" s="31">
        <f ca="1">173.9*OFFSET(G$112,MATCH($N$1,$C$112:$C$113,0)-1,0)</f>
        <v>173.9</v>
      </c>
      <c r="H35" s="31">
        <f ca="1">171.7*OFFSET(H$112,MATCH($N$1,$C$112:$C$113,0)-1,0)</f>
        <v>171.7</v>
      </c>
      <c r="I35" s="31">
        <f ca="1">143.3*OFFSET(I$112,MATCH($N$1,$C$112:$C$113,0)-1,0)</f>
        <v>143.30000000000001</v>
      </c>
      <c r="J35" s="31">
        <f ca="1">171.4*OFFSET(J$112,MATCH($N$1,$C$112:$C$113,0)-1,0)</f>
        <v>171.4</v>
      </c>
      <c r="K35" s="31">
        <f ca="1">164.2*OFFSET(K$112,MATCH($N$1,$C$112:$C$113,0)-1,0)</f>
        <v>164.2</v>
      </c>
      <c r="L35" s="31">
        <f ca="1">163*OFFSET(L$112,MATCH($N$1,$C$112:$C$113,0)-1,0)</f>
        <v>163</v>
      </c>
      <c r="M35" s="31">
        <f ca="1">185.8*OFFSET(M$112,MATCH($N$1,$C$112:$C$113,0)-1,0)</f>
        <v>185.8</v>
      </c>
      <c r="N35" s="31">
        <v>121.7</v>
      </c>
      <c r="O35" s="28">
        <f t="shared" ca="1" si="0"/>
        <v>-0.14416315049226433</v>
      </c>
      <c r="P35" s="28">
        <f t="shared" ca="1" si="1"/>
        <v>-0.28996499416569427</v>
      </c>
    </row>
    <row r="36" spans="1:16" ht="18" customHeight="1">
      <c r="A36" s="178"/>
      <c r="B36" s="40" t="s">
        <v>211</v>
      </c>
      <c r="C36" s="41"/>
      <c r="D36" s="41">
        <f ca="1">67.4*OFFSET(D$112,MATCH($N$1,$C$112:$C$113,0)-1,0)</f>
        <v>67.400000000000006</v>
      </c>
      <c r="E36" s="41">
        <f ca="1">83.1*OFFSET(E$112,MATCH($N$1,$C$112:$C$113,0)-1,0)</f>
        <v>83.1</v>
      </c>
      <c r="F36" s="41">
        <f ca="1">104.9*OFFSET(F$112,MATCH($N$1,$C$112:$C$113,0)-1,0)</f>
        <v>104.9</v>
      </c>
      <c r="G36" s="41">
        <f ca="1">83.7*OFFSET(G$112,MATCH($N$1,$C$112:$C$113,0)-1,0)</f>
        <v>83.7</v>
      </c>
      <c r="H36" s="41">
        <f ca="1">89.5*OFFSET(H$112,MATCH($N$1,$C$112:$C$113,0)-1,0)</f>
        <v>89.5</v>
      </c>
      <c r="I36" s="41">
        <f ca="1">83*OFFSET(I$112,MATCH($N$1,$C$112:$C$113,0)-1,0)</f>
        <v>83</v>
      </c>
      <c r="J36" s="41">
        <f ca="1">108.3*OFFSET(J$112,MATCH($N$1,$C$112:$C$113,0)-1,0)</f>
        <v>108.3</v>
      </c>
      <c r="K36" s="41">
        <f ca="1">95.1*OFFSET(K$112,MATCH($N$1,$C$112:$C$113,0)-1,0)</f>
        <v>95.1</v>
      </c>
      <c r="L36" s="41">
        <f ca="1">85.6*OFFSET(L$112,MATCH($N$1,$C$112:$C$113,0)-1,0)</f>
        <v>85.6</v>
      </c>
      <c r="M36" s="41">
        <f ca="1">93.6*OFFSET(M$112,MATCH($N$1,$C$112:$C$113,0)-1,0)</f>
        <v>93.6</v>
      </c>
      <c r="N36" s="41">
        <v>32.6</v>
      </c>
      <c r="O36" s="28">
        <f t="shared" ca="1" si="0"/>
        <v>-0.51632047477744814</v>
      </c>
      <c r="P36" s="28">
        <f t="shared" ca="1" si="1"/>
        <v>-0.69898430286241908</v>
      </c>
    </row>
    <row r="37" spans="1:16" ht="18" customHeight="1">
      <c r="A37" s="178"/>
      <c r="B37" s="40" t="s">
        <v>212</v>
      </c>
      <c r="C37" s="41"/>
      <c r="D37" s="41">
        <f ca="1">26.6*OFFSET(D$112,MATCH($N$1,$C$112:$C$113,0)-1,0)</f>
        <v>26.6</v>
      </c>
      <c r="E37" s="41">
        <f ca="1">35.2*OFFSET(E$112,MATCH($N$1,$C$112:$C$113,0)-1,0)</f>
        <v>35.200000000000003</v>
      </c>
      <c r="F37" s="41">
        <f ca="1">50.4*OFFSET(F$112,MATCH($N$1,$C$112:$C$113,0)-1,0)</f>
        <v>50.4</v>
      </c>
      <c r="G37" s="41">
        <f ca="1">32.1*OFFSET(G$112,MATCH($N$1,$C$112:$C$113,0)-1,0)</f>
        <v>32.1</v>
      </c>
      <c r="H37" s="41">
        <f ca="1">35.2*OFFSET(H$112,MATCH($N$1,$C$112:$C$113,0)-1,0)</f>
        <v>35.200000000000003</v>
      </c>
      <c r="I37" s="41">
        <f ca="1">35.4*OFFSET(I$112,MATCH($N$1,$C$112:$C$113,0)-1,0)</f>
        <v>35.4</v>
      </c>
      <c r="J37" s="41">
        <f ca="1">43.6*OFFSET(J$112,MATCH($N$1,$C$112:$C$113,0)-1,0)</f>
        <v>43.6</v>
      </c>
      <c r="K37" s="41">
        <f ca="1">34.7*OFFSET(K$112,MATCH($N$1,$C$112:$C$113,0)-1,0)</f>
        <v>34.700000000000003</v>
      </c>
      <c r="L37" s="41">
        <f ca="1">27.2*OFFSET(L$112,MATCH($N$1,$C$112:$C$113,0)-1,0)</f>
        <v>27.2</v>
      </c>
      <c r="M37" s="41">
        <f ca="1">28.1*OFFSET(M$112,MATCH($N$1,$C$112:$C$113,0)-1,0)</f>
        <v>28.1</v>
      </c>
      <c r="N37" s="41">
        <v>-0.6</v>
      </c>
      <c r="O37" s="28">
        <f t="shared" ca="1" si="0"/>
        <v>-1.0225563909774436</v>
      </c>
      <c r="P37" s="28">
        <f t="shared" ca="1" si="1"/>
        <v>-1.0137614678899083</v>
      </c>
    </row>
    <row r="38" spans="1:16" ht="18" customHeight="1">
      <c r="A38" s="178"/>
      <c r="B38" s="35" t="s">
        <v>213</v>
      </c>
      <c r="C38" s="31"/>
      <c r="D38" s="31">
        <f ca="1">12.5*OFFSET(D$112,MATCH($N$1,$C$112:$C$113,0)-1,0)</f>
        <v>12.5</v>
      </c>
      <c r="E38" s="31">
        <f ca="1">10.7*OFFSET(E$112,MATCH($N$1,$C$112:$C$113,0)-1,0)</f>
        <v>10.7</v>
      </c>
      <c r="F38" s="31">
        <f ca="1">6*OFFSET(F$112,MATCH($N$1,$C$112:$C$113,0)-1,0)</f>
        <v>6</v>
      </c>
      <c r="G38" s="31">
        <f ca="1">6.8*OFFSET(G$112,MATCH($N$1,$C$112:$C$113,0)-1,0)</f>
        <v>6.8</v>
      </c>
      <c r="H38" s="31">
        <f ca="1">10.3*OFFSET(H$112,MATCH($N$1,$C$112:$C$113,0)-1,0)</f>
        <v>10.3</v>
      </c>
      <c r="I38" s="31">
        <f ca="1">9.3*OFFSET(I$112,MATCH($N$1,$C$112:$C$113,0)-1,0)</f>
        <v>9.3000000000000007</v>
      </c>
      <c r="J38" s="31">
        <f ca="1">10.3*OFFSET(J$112,MATCH($N$1,$C$112:$C$113,0)-1,0)</f>
        <v>10.3</v>
      </c>
      <c r="K38" s="31">
        <f ca="1">7.9*OFFSET(K$112,MATCH($N$1,$C$112:$C$113,0)-1,0)</f>
        <v>7.9</v>
      </c>
      <c r="L38" s="31">
        <f ca="1">9.7*OFFSET(L$112,MATCH($N$1,$C$112:$C$113,0)-1,0)</f>
        <v>9.6999999999999993</v>
      </c>
      <c r="M38" s="31">
        <f ca="1">11.4*OFFSET(M$112,MATCH($N$1,$C$112:$C$113,0)-1,0)</f>
        <v>11.4</v>
      </c>
      <c r="N38" s="31"/>
      <c r="O38" s="28" t="str">
        <f t="shared" si="0"/>
        <v/>
      </c>
      <c r="P38" s="28" t="str">
        <f t="shared" si="1"/>
        <v/>
      </c>
    </row>
    <row r="39" spans="1:16" ht="18" customHeight="1">
      <c r="A39" s="178"/>
      <c r="B39" s="35" t="s">
        <v>214</v>
      </c>
      <c r="C39" s="31"/>
      <c r="D39" s="31">
        <f ca="1">3.1*OFFSET(D$112,MATCH($N$1,$C$112:$C$113,0)-1,0)</f>
        <v>3.1</v>
      </c>
      <c r="E39" s="31">
        <f ca="1">2.8*OFFSET(E$112,MATCH($N$1,$C$112:$C$113,0)-1,0)</f>
        <v>2.8</v>
      </c>
      <c r="F39" s="31">
        <f ca="1">2.5*OFFSET(F$112,MATCH($N$1,$C$112:$C$113,0)-1,0)</f>
        <v>2.5</v>
      </c>
      <c r="G39" s="31">
        <f ca="1">1.7*OFFSET(G$112,MATCH($N$1,$C$112:$C$113,0)-1,0)</f>
        <v>1.7</v>
      </c>
      <c r="H39" s="31">
        <f ca="1">2.3*OFFSET(H$112,MATCH($N$1,$C$112:$C$113,0)-1,0)</f>
        <v>2.2999999999999998</v>
      </c>
      <c r="I39" s="31">
        <f ca="1">2.3*OFFSET(I$112,MATCH($N$1,$C$112:$C$113,0)-1,0)</f>
        <v>2.2999999999999998</v>
      </c>
      <c r="J39" s="31">
        <f ca="1">2.5*OFFSET(J$112,MATCH($N$1,$C$112:$C$113,0)-1,0)</f>
        <v>2.5</v>
      </c>
      <c r="K39" s="31">
        <f ca="1">2.3*OFFSET(K$112,MATCH($N$1,$C$112:$C$113,0)-1,0)</f>
        <v>2.2999999999999998</v>
      </c>
      <c r="L39" s="31">
        <f ca="1">1.7*OFFSET(L$112,MATCH($N$1,$C$112:$C$113,0)-1,0)</f>
        <v>1.7</v>
      </c>
      <c r="M39" s="31">
        <f ca="1">1.1*OFFSET(M$112,MATCH($N$1,$C$112:$C$113,0)-1,0)</f>
        <v>1.1000000000000001</v>
      </c>
      <c r="N39" s="31"/>
      <c r="O39" s="28" t="str">
        <f t="shared" si="0"/>
        <v/>
      </c>
      <c r="P39" s="28" t="str">
        <f t="shared" si="1"/>
        <v/>
      </c>
    </row>
    <row r="40" spans="1:16" ht="18" customHeight="1">
      <c r="A40" s="178"/>
      <c r="B40" s="35" t="s">
        <v>215</v>
      </c>
      <c r="C40" s="31"/>
      <c r="D40" s="31">
        <f ca="1">0.2*OFFSET(D$112,MATCH($N$1,$C$112:$C$113,0)-1,0)</f>
        <v>0.2</v>
      </c>
      <c r="E40" s="31">
        <f ca="1">0.1*OFFSET(E$112,MATCH($N$1,$C$112:$C$113,0)-1,0)</f>
        <v>0.1</v>
      </c>
      <c r="F40" s="31">
        <f ca="1">3.1*OFFSET(F$112,MATCH($N$1,$C$112:$C$113,0)-1,0)</f>
        <v>3.1</v>
      </c>
      <c r="G40" s="31">
        <f ca="1">0.9*OFFSET(G$112,MATCH($N$1,$C$112:$C$113,0)-1,0)</f>
        <v>0.9</v>
      </c>
      <c r="H40" s="31">
        <f ca="1">6.4*OFFSET(H$112,MATCH($N$1,$C$112:$C$113,0)-1,0)</f>
        <v>6.4</v>
      </c>
      <c r="I40" s="31">
        <f ca="1">1*OFFSET(I$112,MATCH($N$1,$C$112:$C$113,0)-1,0)</f>
        <v>1</v>
      </c>
      <c r="J40" s="31">
        <f ca="1">0.7*OFFSET(J$112,MATCH($N$1,$C$112:$C$113,0)-1,0)</f>
        <v>0.7</v>
      </c>
      <c r="K40" s="31">
        <f ca="1">4.4*OFFSET(K$112,MATCH($N$1,$C$112:$C$113,0)-1,0)</f>
        <v>4.4000000000000004</v>
      </c>
      <c r="L40" s="31">
        <f ca="1">0.8*OFFSET(L$112,MATCH($N$1,$C$112:$C$113,0)-1,0)</f>
        <v>0.8</v>
      </c>
      <c r="M40" s="31">
        <f ca="1">1.2*OFFSET(M$112,MATCH($N$1,$C$112:$C$113,0)-1,0)</f>
        <v>1.2</v>
      </c>
      <c r="N40" s="31"/>
      <c r="O40" s="28" t="str">
        <f t="shared" si="0"/>
        <v/>
      </c>
      <c r="P40" s="28" t="str">
        <f t="shared" si="1"/>
        <v/>
      </c>
    </row>
    <row r="41" spans="1:16" ht="18" customHeight="1" thickBot="1">
      <c r="A41" s="179"/>
      <c r="B41" s="42" t="s">
        <v>216</v>
      </c>
      <c r="C41" s="43"/>
      <c r="D41" s="43">
        <f ca="1">10.8*OFFSET(D$112,MATCH($N$1,$C$112:$C$113,0)-1,0)</f>
        <v>10.8</v>
      </c>
      <c r="E41" s="43">
        <f ca="1">21.6*OFFSET(E$112,MATCH($N$1,$C$112:$C$113,0)-1,0)</f>
        <v>21.6</v>
      </c>
      <c r="F41" s="43">
        <f ca="1">38.9*OFFSET(F$112,MATCH($N$1,$C$112:$C$113,0)-1,0)</f>
        <v>38.9</v>
      </c>
      <c r="G41" s="43">
        <f ca="1">22.8*OFFSET(G$112,MATCH($N$1,$C$112:$C$113,0)-1,0)</f>
        <v>22.8</v>
      </c>
      <c r="H41" s="43">
        <f ca="1">16.2*OFFSET(H$112,MATCH($N$1,$C$112:$C$113,0)-1,0)</f>
        <v>16.2</v>
      </c>
      <c r="I41" s="43">
        <f ca="1">22.9*OFFSET(I$112,MATCH($N$1,$C$112:$C$113,0)-1,0)</f>
        <v>22.9</v>
      </c>
      <c r="J41" s="43">
        <f ca="1">30.1*OFFSET(J$112,MATCH($N$1,$C$112:$C$113,0)-1,0)</f>
        <v>30.1</v>
      </c>
      <c r="K41" s="43">
        <f ca="1">20.1*OFFSET(K$112,MATCH($N$1,$C$112:$C$113,0)-1,0)</f>
        <v>20.100000000000001</v>
      </c>
      <c r="L41" s="43">
        <f ca="1">14.9*OFFSET(L$112,MATCH($N$1,$C$112:$C$113,0)-1,0)</f>
        <v>14.9</v>
      </c>
      <c r="M41" s="43">
        <f ca="1">14.4*OFFSET(M$112,MATCH($N$1,$C$112:$C$113,0)-1,0)</f>
        <v>14.4</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159</v>
      </c>
      <c r="F46" s="90" t="s">
        <v>163</v>
      </c>
      <c r="G46" s="90" t="s">
        <v>163</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WOS nephrops under 250kW</v>
      </c>
      <c r="B48" s="202"/>
      <c r="C48" s="92"/>
      <c r="D48" s="92"/>
      <c r="E48" s="92"/>
      <c r="F48" s="92"/>
      <c r="G48" s="92"/>
      <c r="H48" s="202"/>
      <c r="I48" s="202"/>
      <c r="J48" s="202"/>
      <c r="K48" s="92" t="str">
        <f>$B24&amp;CHAR(10)&amp;$A$1</f>
        <v>Operating profit per kW day at sea (£)
WOS nephrops under 250kW</v>
      </c>
      <c r="L48" s="202"/>
      <c r="M48" s="202"/>
      <c r="N48" s="202"/>
      <c r="O48" s="202"/>
      <c r="P48" s="202"/>
    </row>
    <row r="49" spans="1:11" s="80" customFormat="1">
      <c r="A49" s="92" t="str">
        <f>$B22&amp;CHAR(10)&amp;$A$1</f>
        <v>Fishing income per kW day at sea (£)
WOS nephrops under 250kW</v>
      </c>
      <c r="B49" s="202"/>
      <c r="C49" s="202"/>
      <c r="D49" s="202"/>
      <c r="E49" s="202"/>
      <c r="F49" s="202"/>
      <c r="G49" s="202"/>
      <c r="H49" s="202"/>
      <c r="I49" s="202"/>
      <c r="J49" s="202"/>
      <c r="K49" s="202"/>
    </row>
    <row r="50" spans="1:11" s="80" customFormat="1">
      <c r="A50" s="92" t="str">
        <f>$B20&amp;CHAR(10)&amp;$A$1</f>
        <v>Average price per tonne landed (£)
WOS nephrops under 250kW</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WOS nephrops under 250kW</v>
      </c>
      <c r="C62" s="202"/>
      <c r="D62" s="202"/>
      <c r="E62" s="202"/>
      <c r="F62" s="92" t="str">
        <f>$B20&amp;CHAR(10)&amp;$A$1</f>
        <v>Average price per tonne landed (£)
WOS nephrops under 250kW</v>
      </c>
      <c r="G62" s="202"/>
      <c r="H62" s="202"/>
      <c r="I62" s="202"/>
      <c r="J62" s="202"/>
      <c r="K62" s="92" t="str">
        <f>"Average annual operating profit per vessel (£'000)"&amp;CHAR(10)&amp;$A$1</f>
        <v>Average annual operating profit per vessel (£'000)
WOS nephrops under 250kW</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WOS nephrops under 250kW</v>
      </c>
      <c r="F76" s="92" t="str">
        <f>"Top 5 landed species by value in "&amp;A77&amp;CHAR(10)&amp;A1</f>
        <v>Top 5 landed species by value in 2019
WOS nephrops under 250kW</v>
      </c>
    </row>
    <row r="77" spans="1:11" s="92" customFormat="1">
      <c r="A77" s="92">
        <v>2019</v>
      </c>
      <c r="B77" s="92" t="s">
        <v>632</v>
      </c>
      <c r="C77" s="93">
        <v>0.93880933919302723</v>
      </c>
      <c r="D77" s="94">
        <v>12153634</v>
      </c>
      <c r="G77" s="92" t="s">
        <v>633</v>
      </c>
      <c r="H77" s="93">
        <v>0.95675431743939143</v>
      </c>
      <c r="I77" s="94">
        <v>12153634</v>
      </c>
      <c r="K77" s="92" t="s">
        <v>230</v>
      </c>
    </row>
    <row r="78" spans="1:11" s="92" customFormat="1">
      <c r="B78" s="92" t="s">
        <v>634</v>
      </c>
      <c r="C78" s="93">
        <v>1.404519097594565E-2</v>
      </c>
      <c r="D78" s="94">
        <v>553960</v>
      </c>
      <c r="G78" s="92" t="s">
        <v>635</v>
      </c>
      <c r="H78" s="93">
        <v>1.2981614647645088E-2</v>
      </c>
      <c r="I78" s="94">
        <v>553960</v>
      </c>
    </row>
    <row r="79" spans="1:11" s="92" customFormat="1">
      <c r="B79" s="92" t="s">
        <v>636</v>
      </c>
      <c r="C79" s="93">
        <v>1.1986471538813851E-2</v>
      </c>
      <c r="D79" s="94">
        <v>1692097</v>
      </c>
      <c r="G79" s="92" t="s">
        <v>637</v>
      </c>
      <c r="H79" s="93">
        <v>1.168482442725375E-2</v>
      </c>
      <c r="I79" s="94">
        <v>3050596</v>
      </c>
    </row>
    <row r="80" spans="1:11" s="92" customFormat="1">
      <c r="B80" s="92" t="s">
        <v>638</v>
      </c>
      <c r="C80" s="93">
        <v>1.0547391384335296E-2</v>
      </c>
      <c r="D80" s="94">
        <v>3050596</v>
      </c>
      <c r="G80" s="92" t="s">
        <v>639</v>
      </c>
      <c r="H80" s="93">
        <v>5.3356336709997456E-3</v>
      </c>
      <c r="I80" s="94">
        <v>1692097</v>
      </c>
    </row>
    <row r="81" spans="1:19" s="92" customFormat="1">
      <c r="B81" s="92" t="s">
        <v>640</v>
      </c>
      <c r="C81" s="93">
        <v>6.8144363548937343E-3</v>
      </c>
      <c r="D81" s="94">
        <v>11115023</v>
      </c>
      <c r="G81" s="92" t="s">
        <v>553</v>
      </c>
      <c r="H81" s="93">
        <v>4.1777611134233873E-3</v>
      </c>
      <c r="I81" s="94">
        <v>3689192</v>
      </c>
    </row>
    <row r="82" spans="1:19" s="92" customFormat="1">
      <c r="B82" s="92" t="s">
        <v>641</v>
      </c>
      <c r="C82" s="93">
        <v>1.7797170552984243E-2</v>
      </c>
      <c r="D82" s="94">
        <v>5920853</v>
      </c>
      <c r="G82" s="92" t="s">
        <v>558</v>
      </c>
      <c r="H82" s="93">
        <v>9.0658487012865718E-3</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160</v>
      </c>
      <c r="D92" s="98">
        <v>0.98174810275514102</v>
      </c>
      <c r="E92" s="98">
        <v>0.95876494800364065</v>
      </c>
      <c r="F92" s="98">
        <v>0.95642993523267572</v>
      </c>
      <c r="G92" s="98">
        <v>0.97638166235546109</v>
      </c>
      <c r="H92" s="98">
        <v>0.97741443134295813</v>
      </c>
      <c r="I92" s="98">
        <v>0.97618989992581506</v>
      </c>
      <c r="J92" s="98">
        <v>0.96569663096188274</v>
      </c>
      <c r="K92" s="98">
        <v>0.96408525618343599</v>
      </c>
      <c r="L92" s="98">
        <v>0.95675431743939143</v>
      </c>
      <c r="M92" s="98">
        <v>0.93207677279453383</v>
      </c>
      <c r="O92" s="92">
        <v>12153634</v>
      </c>
    </row>
    <row r="93" spans="1:19" s="92" customFormat="1" hidden="1">
      <c r="B93" s="92">
        <v>2</v>
      </c>
      <c r="C93" s="92" t="s">
        <v>172</v>
      </c>
      <c r="D93" s="98">
        <v>1.0176158732585464E-2</v>
      </c>
      <c r="E93" s="98">
        <v>2.1520087451725844E-2</v>
      </c>
      <c r="F93" s="98">
        <v>1.299499445453184E-2</v>
      </c>
      <c r="G93" s="98">
        <v>3.8541152834509085E-3</v>
      </c>
      <c r="H93" s="98">
        <v>9.3501579401829536E-3</v>
      </c>
      <c r="I93" s="98">
        <v>9.4301421229082485E-3</v>
      </c>
      <c r="J93" s="98">
        <v>8.983742358474843E-3</v>
      </c>
      <c r="K93" s="98">
        <v>9.1791442667017876E-3</v>
      </c>
      <c r="L93" s="98">
        <v>1.2981614647645088E-2</v>
      </c>
      <c r="M93" s="98">
        <v>2.6386399504422182E-2</v>
      </c>
      <c r="O93" s="92">
        <v>553960</v>
      </c>
    </row>
    <row r="94" spans="1:19" s="92" customFormat="1" hidden="1">
      <c r="B94" s="92">
        <v>3</v>
      </c>
      <c r="C94" s="92" t="s">
        <v>169</v>
      </c>
      <c r="D94" s="98">
        <v>6.630690893226328E-4</v>
      </c>
      <c r="E94" s="98"/>
      <c r="F94" s="98">
        <v>3.7594886197009972E-3</v>
      </c>
      <c r="G94" s="98"/>
      <c r="H94" s="98"/>
      <c r="I94" s="98">
        <v>2.9285641748799146E-3</v>
      </c>
      <c r="J94" s="98">
        <v>9.3756376493999583E-3</v>
      </c>
      <c r="K94" s="98">
        <v>5.5430186986126766E-3</v>
      </c>
      <c r="L94" s="98">
        <v>1.168482442725375E-2</v>
      </c>
      <c r="M94" s="98">
        <v>2.8238521969423173E-2</v>
      </c>
      <c r="O94" s="92">
        <v>3050596</v>
      </c>
    </row>
    <row r="95" spans="1:19" s="92" customFormat="1" hidden="1">
      <c r="B95" s="92">
        <v>4</v>
      </c>
      <c r="C95" s="92" t="s">
        <v>329</v>
      </c>
      <c r="D95" s="98"/>
      <c r="E95" s="98"/>
      <c r="F95" s="98"/>
      <c r="G95" s="98"/>
      <c r="H95" s="98"/>
      <c r="I95" s="98"/>
      <c r="J95" s="98"/>
      <c r="K95" s="98"/>
      <c r="L95" s="98">
        <v>5.3356336709997456E-3</v>
      </c>
      <c r="M95" s="98"/>
      <c r="O95" s="92">
        <v>1692097</v>
      </c>
    </row>
    <row r="96" spans="1:19" s="92" customFormat="1" hidden="1">
      <c r="B96" s="92">
        <v>5</v>
      </c>
      <c r="C96" s="92" t="s">
        <v>161</v>
      </c>
      <c r="D96" s="98">
        <v>8.8658868543612843E-4</v>
      </c>
      <c r="E96" s="98">
        <v>2.0489463798348201E-3</v>
      </c>
      <c r="F96" s="98"/>
      <c r="G96" s="98">
        <v>4.6151376590610263E-3</v>
      </c>
      <c r="H96" s="98">
        <v>3.5332638565793708E-3</v>
      </c>
      <c r="I96" s="98">
        <v>2.4652998408192586E-3</v>
      </c>
      <c r="J96" s="98">
        <v>2.9246483634644185E-3</v>
      </c>
      <c r="K96" s="98">
        <v>5.1005529324523891E-3</v>
      </c>
      <c r="L96" s="98">
        <v>4.1777611134233873E-3</v>
      </c>
      <c r="M96" s="98">
        <v>3.2333969924376225E-3</v>
      </c>
      <c r="O96" s="92">
        <v>3689192</v>
      </c>
    </row>
    <row r="97" spans="1:15" s="92" customFormat="1" hidden="1">
      <c r="B97" s="92">
        <v>6</v>
      </c>
      <c r="C97" s="92" t="s">
        <v>170</v>
      </c>
      <c r="D97" s="98"/>
      <c r="E97" s="98"/>
      <c r="F97" s="98"/>
      <c r="G97" s="98">
        <v>3.4221695504747613E-3</v>
      </c>
      <c r="H97" s="98">
        <v>2.9480861338771801E-3</v>
      </c>
      <c r="I97" s="98">
        <v>4.1063308537431188E-3</v>
      </c>
      <c r="J97" s="98">
        <v>7.3463898037433176E-3</v>
      </c>
      <c r="K97" s="98">
        <v>1.082066561268367E-2</v>
      </c>
      <c r="L97" s="98"/>
      <c r="M97" s="98">
        <v>3.7003279452528862E-3</v>
      </c>
      <c r="O97" s="92">
        <v>11115023</v>
      </c>
    </row>
    <row r="98" spans="1:15" s="92" customFormat="1" hidden="1">
      <c r="B98" s="92">
        <v>7</v>
      </c>
      <c r="C98" s="92" t="s">
        <v>157</v>
      </c>
      <c r="D98" s="98">
        <v>1.1568835752943782E-3</v>
      </c>
      <c r="E98" s="98">
        <v>3.3071228800882892E-3</v>
      </c>
      <c r="F98" s="98"/>
      <c r="G98" s="98"/>
      <c r="H98" s="98">
        <v>1.5410572834852749E-3</v>
      </c>
      <c r="I98" s="98"/>
      <c r="J98" s="98"/>
      <c r="K98" s="98"/>
      <c r="L98" s="98"/>
      <c r="M98" s="98"/>
      <c r="O98" s="92">
        <v>2480382</v>
      </c>
    </row>
    <row r="99" spans="1:15" s="92" customFormat="1" hidden="1">
      <c r="B99" s="92">
        <v>8</v>
      </c>
      <c r="C99" s="92" t="s">
        <v>310</v>
      </c>
      <c r="D99" s="98"/>
      <c r="E99" s="98"/>
      <c r="F99" s="98"/>
      <c r="G99" s="98">
        <v>2.12054132636767E-3</v>
      </c>
      <c r="H99" s="98"/>
      <c r="I99" s="98"/>
      <c r="J99" s="98"/>
      <c r="K99" s="98"/>
      <c r="L99" s="98"/>
      <c r="M99" s="98"/>
      <c r="O99" s="92">
        <v>7434864</v>
      </c>
    </row>
    <row r="100" spans="1:15" s="92" customFormat="1" hidden="1">
      <c r="B100" s="92">
        <v>9</v>
      </c>
      <c r="C100" s="92" t="s">
        <v>243</v>
      </c>
      <c r="D100" s="98"/>
      <c r="E100" s="98">
        <v>4.0269147403617402E-3</v>
      </c>
      <c r="F100" s="98">
        <v>7.5278379966742786E-3</v>
      </c>
      <c r="G100" s="98"/>
      <c r="H100" s="98"/>
      <c r="I100" s="98"/>
      <c r="J100" s="98"/>
      <c r="K100" s="98"/>
      <c r="L100" s="98"/>
      <c r="M100" s="98"/>
      <c r="O100" s="92">
        <v>8497745</v>
      </c>
    </row>
    <row r="101" spans="1:15" s="92" customFormat="1" hidden="1">
      <c r="B101" s="92">
        <v>10</v>
      </c>
      <c r="C101" s="92" t="s">
        <v>173</v>
      </c>
      <c r="D101" s="98"/>
      <c r="E101" s="98"/>
      <c r="F101" s="98">
        <v>5.2567045762981542E-3</v>
      </c>
      <c r="G101" s="98"/>
      <c r="H101" s="98"/>
      <c r="I101" s="98"/>
      <c r="J101" s="98"/>
      <c r="K101" s="98"/>
      <c r="L101" s="98"/>
      <c r="M101" s="98"/>
      <c r="O101" s="92">
        <v>14393110</v>
      </c>
    </row>
    <row r="102" spans="1:15" s="92" customFormat="1" hidden="1">
      <c r="B102" s="92">
        <v>11</v>
      </c>
      <c r="C102" s="92" t="s">
        <v>245</v>
      </c>
      <c r="D102" s="98">
        <v>5.3691971622204151E-3</v>
      </c>
      <c r="E102" s="98">
        <v>1.0331980544348689E-2</v>
      </c>
      <c r="F102" s="98">
        <v>1.4031039120119052E-2</v>
      </c>
      <c r="G102" s="98">
        <v>9.6063738251845401E-3</v>
      </c>
      <c r="H102" s="98">
        <v>5.2130034429170719E-3</v>
      </c>
      <c r="I102" s="98">
        <v>4.8797630818343549E-3</v>
      </c>
      <c r="J102" s="98">
        <v>5.6729508630347127E-3</v>
      </c>
      <c r="K102" s="98">
        <v>5.2713623061134782E-3</v>
      </c>
      <c r="L102" s="98">
        <v>9.0658487012866447E-3</v>
      </c>
      <c r="M102" s="98">
        <v>6.3645807939303224E-3</v>
      </c>
      <c r="O102" s="92">
        <v>5920853</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12</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15</v>
      </c>
      <c r="D120" s="54">
        <v>30</v>
      </c>
      <c r="E120" s="54">
        <v>15</v>
      </c>
      <c r="F120" s="55">
        <v>60</v>
      </c>
    </row>
    <row r="121" spans="1:15" ht="18" customHeight="1">
      <c r="A121" s="173" t="s">
        <v>191</v>
      </c>
      <c r="B121" s="33" t="s">
        <v>192</v>
      </c>
      <c r="C121" s="56">
        <v>14.26533317565918</v>
      </c>
      <c r="D121" s="56">
        <v>15.795999526977539</v>
      </c>
      <c r="E121" s="56">
        <v>15.917333602905273</v>
      </c>
      <c r="F121" s="57">
        <v>15.443666458129883</v>
      </c>
      <c r="G121" s="206"/>
      <c r="H121" s="206"/>
      <c r="I121" s="206"/>
      <c r="J121" s="206"/>
      <c r="K121" s="206"/>
      <c r="L121" s="206"/>
      <c r="M121" s="206"/>
      <c r="N121" s="206"/>
      <c r="O121" s="206"/>
    </row>
    <row r="122" spans="1:15" ht="18" customHeight="1">
      <c r="A122" s="174"/>
      <c r="B122" s="35" t="s">
        <v>184</v>
      </c>
      <c r="C122" s="58">
        <v>158.06666564941406</v>
      </c>
      <c r="D122" s="58">
        <v>174.36666870117188</v>
      </c>
      <c r="E122" s="58">
        <v>186.19999694824219</v>
      </c>
      <c r="F122" s="59">
        <v>173.25</v>
      </c>
      <c r="G122" s="206"/>
      <c r="H122" s="206"/>
      <c r="I122" s="206"/>
      <c r="J122" s="206"/>
      <c r="K122" s="206"/>
      <c r="L122" s="206"/>
      <c r="M122" s="206"/>
      <c r="N122" s="206"/>
      <c r="O122" s="206"/>
    </row>
    <row r="123" spans="1:15" ht="18" customHeight="1">
      <c r="A123" s="174"/>
      <c r="B123" s="35" t="s">
        <v>185</v>
      </c>
      <c r="C123" s="58">
        <v>40.333332061767578</v>
      </c>
      <c r="D123" s="58">
        <v>44.299999237060547</v>
      </c>
      <c r="E123" s="58">
        <v>43.066665649414063</v>
      </c>
      <c r="F123" s="59">
        <v>43</v>
      </c>
      <c r="G123" s="206"/>
      <c r="H123" s="206"/>
      <c r="I123" s="206"/>
      <c r="J123" s="206"/>
      <c r="K123" s="206"/>
      <c r="L123" s="206"/>
      <c r="M123" s="206"/>
      <c r="N123" s="206"/>
      <c r="O123" s="206"/>
    </row>
    <row r="124" spans="1:15" ht="18" customHeight="1">
      <c r="A124" s="174"/>
      <c r="B124" s="35" t="s">
        <v>186</v>
      </c>
      <c r="C124" s="58">
        <v>144.60697937011719</v>
      </c>
      <c r="D124" s="58">
        <v>163.64686584472656</v>
      </c>
      <c r="E124" s="58">
        <v>169.69540405273438</v>
      </c>
      <c r="F124" s="59">
        <v>160.39901733398438</v>
      </c>
      <c r="G124" s="206"/>
      <c r="H124" s="206"/>
      <c r="I124" s="206"/>
      <c r="J124" s="206"/>
      <c r="K124" s="206"/>
      <c r="L124" s="206"/>
      <c r="M124" s="206"/>
      <c r="N124" s="206"/>
      <c r="O124" s="206"/>
    </row>
    <row r="125" spans="1:15" ht="18" customHeight="1">
      <c r="A125" s="174"/>
      <c r="B125" s="35" t="s">
        <v>187</v>
      </c>
      <c r="C125" s="31">
        <v>87.883010864257813</v>
      </c>
      <c r="D125" s="31">
        <v>77.815948486328125</v>
      </c>
      <c r="E125" s="31">
        <v>46.53594970703125</v>
      </c>
      <c r="F125" s="60">
        <v>72.512718200683594</v>
      </c>
      <c r="G125" s="206"/>
      <c r="H125" s="206"/>
      <c r="I125" s="206"/>
      <c r="J125" s="206"/>
      <c r="K125" s="206"/>
      <c r="L125" s="206"/>
      <c r="M125" s="206"/>
      <c r="N125" s="206"/>
      <c r="O125" s="206"/>
    </row>
    <row r="126" spans="1:15" ht="18" customHeight="1">
      <c r="A126" s="174"/>
      <c r="B126" s="35" t="s">
        <v>193</v>
      </c>
      <c r="C126" s="31">
        <f ca="1">264.83121875*OFFSET($L$112,MATCH($N$1,$C$112:$C$113,0)-1,0)</f>
        <v>264.83121875000001</v>
      </c>
      <c r="D126" s="31">
        <f ca="1">228.8146640625*OFFSET($L$112,MATCH($N$1,$C$112:$C$113,0)-1,0)</f>
        <v>228.81466406249999</v>
      </c>
      <c r="E126" s="31">
        <f ca="1">129.312296875*OFFSET($L$112,MATCH($N$1,$C$112:$C$113,0)-1,0)</f>
        <v>129.31229687499999</v>
      </c>
      <c r="F126" s="60">
        <f ca="1">212.943203125*OFFSET($L$112,MATCH($N$1,$C$112:$C$113,0)-1,0)</f>
        <v>212.943203125</v>
      </c>
      <c r="G126" s="206"/>
      <c r="H126" s="206"/>
      <c r="I126" s="206"/>
      <c r="J126" s="206"/>
      <c r="K126" s="206"/>
      <c r="L126" s="206"/>
      <c r="M126" s="206"/>
      <c r="N126" s="206"/>
      <c r="O126" s="206"/>
    </row>
    <row r="127" spans="1:15" ht="18" customHeight="1">
      <c r="A127" s="174"/>
      <c r="B127" s="35" t="s">
        <v>189</v>
      </c>
      <c r="C127" s="58">
        <v>168</v>
      </c>
      <c r="D127" s="58">
        <v>164.20000457763672</v>
      </c>
      <c r="E127" s="58">
        <v>155.13333129882813</v>
      </c>
      <c r="F127" s="59">
        <v>162.88333129882813</v>
      </c>
      <c r="G127" s="206"/>
      <c r="H127" s="206"/>
      <c r="I127" s="206"/>
      <c r="J127" s="206"/>
      <c r="K127" s="206"/>
      <c r="L127" s="206"/>
      <c r="M127" s="206"/>
      <c r="N127" s="206"/>
      <c r="O127" s="206"/>
    </row>
    <row r="128" spans="1:15" ht="18" customHeight="1">
      <c r="A128" s="174"/>
      <c r="B128" s="35" t="s">
        <v>194</v>
      </c>
      <c r="C128" s="58">
        <v>37.200000762939453</v>
      </c>
      <c r="D128" s="58">
        <v>41.966667175292969</v>
      </c>
      <c r="E128" s="58">
        <v>43.933334350585938</v>
      </c>
      <c r="F128" s="59">
        <v>41.266666412353516</v>
      </c>
      <c r="G128" s="206"/>
      <c r="H128" s="206"/>
      <c r="I128" s="206"/>
      <c r="J128" s="206"/>
      <c r="K128" s="206"/>
      <c r="L128" s="206"/>
      <c r="M128" s="206"/>
      <c r="N128" s="206"/>
      <c r="O128" s="206"/>
    </row>
    <row r="129" spans="1:15" ht="18" customHeight="1">
      <c r="A129" s="174"/>
      <c r="B129" s="35" t="s">
        <v>195</v>
      </c>
      <c r="C129" s="61">
        <v>0.52311313152313232</v>
      </c>
      <c r="D129" s="61">
        <v>0.47390953908003908</v>
      </c>
      <c r="E129" s="61">
        <v>0.29997390508651733</v>
      </c>
      <c r="F129" s="62">
        <v>0.44518193602561951</v>
      </c>
      <c r="G129" s="206"/>
      <c r="H129" s="206"/>
      <c r="I129" s="206"/>
      <c r="J129" s="206"/>
      <c r="K129" s="206"/>
      <c r="L129" s="206"/>
      <c r="M129" s="206"/>
      <c r="N129" s="206"/>
      <c r="O129" s="206"/>
    </row>
    <row r="130" spans="1:15" ht="18" customHeight="1">
      <c r="A130" s="175"/>
      <c r="B130" s="37" t="s">
        <v>196</v>
      </c>
      <c r="C130" s="38">
        <f ca="1">3013.45181674593*OFFSET($L$112,MATCH($N$1,$C$112:$C$113,0)-1,0)</f>
        <v>3013.45181674593</v>
      </c>
      <c r="D130" s="38">
        <f ca="1">2940.45974525006*OFFSET($L$112,MATCH($N$1,$C$112:$C$113,0)-1,0)</f>
        <v>2940.4597452500602</v>
      </c>
      <c r="E130" s="38">
        <f ca="1">2778.76131655398*OFFSET($L$112,MATCH($N$1,$C$112:$C$113,0)-1,0)</f>
        <v>2778.7613165539801</v>
      </c>
      <c r="F130" s="63">
        <f ca="1">2937*OFFSET($L$112,MATCH($N$1,$C$112:$C$113,0)-1,0)</f>
        <v>2937</v>
      </c>
      <c r="G130" s="206"/>
      <c r="H130" s="206"/>
      <c r="I130" s="206"/>
      <c r="J130" s="206"/>
      <c r="K130" s="206"/>
      <c r="L130" s="206"/>
      <c r="M130" s="206"/>
      <c r="N130" s="206"/>
      <c r="O130" s="206"/>
    </row>
    <row r="131" spans="1:15" ht="18" customHeight="1">
      <c r="A131" s="184" t="s">
        <v>197</v>
      </c>
      <c r="B131" s="33" t="s">
        <v>198</v>
      </c>
      <c r="C131" s="64">
        <v>3.3142139331092433</v>
      </c>
      <c r="D131" s="64">
        <v>2.6753624824571416</v>
      </c>
      <c r="E131" s="64">
        <v>1.6413484240299616</v>
      </c>
      <c r="F131" s="65">
        <v>2.5658788375863795</v>
      </c>
      <c r="G131" s="206"/>
      <c r="H131" s="206"/>
      <c r="I131" s="206"/>
      <c r="J131" s="206"/>
      <c r="K131" s="206"/>
      <c r="L131" s="206"/>
      <c r="M131" s="206"/>
      <c r="N131" s="206"/>
      <c r="O131" s="206"/>
    </row>
    <row r="132" spans="1:15" ht="18" customHeight="1">
      <c r="A132" s="185"/>
      <c r="B132" s="35" t="s">
        <v>199</v>
      </c>
      <c r="C132" s="61">
        <f ca="1">9.98722399781272*OFFSET($L$112,MATCH($N$1,$C$112:$C$113,0)-1,0)</f>
        <v>9.9872239978127197</v>
      </c>
      <c r="D132" s="61">
        <f ca="1">7.86679568361749*OFFSET($L$112,MATCH($N$1,$C$112:$C$113,0)-1,0)</f>
        <v>7.8667956836174904</v>
      </c>
      <c r="E132" s="61">
        <f ca="1">4.5609155076813*OFFSET($L$112,MATCH($N$1,$C$112:$C$113,0)-1,0)</f>
        <v>4.5609155076813002</v>
      </c>
      <c r="F132" s="62">
        <f ca="1">7.53504312159607*OFFSET($L$112,MATCH($N$1,$C$112:$C$113,0)-1,0)</f>
        <v>7.53504312159607</v>
      </c>
      <c r="G132" s="206"/>
      <c r="H132" s="206"/>
      <c r="I132" s="206"/>
      <c r="J132" s="206"/>
      <c r="K132" s="206"/>
      <c r="L132" s="206"/>
      <c r="M132" s="206"/>
      <c r="N132" s="206"/>
      <c r="O132" s="206"/>
    </row>
    <row r="133" spans="1:15" ht="18" customHeight="1">
      <c r="A133" s="185"/>
      <c r="B133" s="35" t="s">
        <v>154</v>
      </c>
      <c r="C133" s="61">
        <f ca="1">8.10448942541577*OFFSET($L$112,MATCH($N$1,$C$112:$C$113,0)-1,0)</f>
        <v>8.1044894254157693</v>
      </c>
      <c r="D133" s="61">
        <f ca="1">6.81664667844025*OFFSET($L$112,MATCH($N$1,$C$112:$C$113,0)-1,0)</f>
        <v>6.8166466784402502</v>
      </c>
      <c r="E133" s="61">
        <f ca="1">4.51638019421672*OFFSET($L$112,MATCH($N$1,$C$112:$C$113,0)-1,0)</f>
        <v>4.5163801942167199</v>
      </c>
      <c r="F133" s="62">
        <f ca="1">6.54180909450039*OFFSET($L$112,MATCH($N$1,$C$112:$C$113,0)-1,0)</f>
        <v>6.5418090945003904</v>
      </c>
      <c r="G133" s="206"/>
      <c r="H133" s="206"/>
      <c r="I133" s="206"/>
      <c r="J133" s="206"/>
      <c r="K133" s="206"/>
      <c r="L133" s="206"/>
      <c r="M133" s="206"/>
      <c r="N133" s="206"/>
      <c r="O133" s="206"/>
    </row>
    <row r="134" spans="1:15" ht="18" customHeight="1">
      <c r="A134" s="186"/>
      <c r="B134" s="37" t="s">
        <v>155</v>
      </c>
      <c r="C134" s="66">
        <f ca="1">1.88273457239695*OFFSET($L$112,MATCH($N$1,$C$112:$C$113,0)-1,0)</f>
        <v>1.88273457239695</v>
      </c>
      <c r="D134" s="66">
        <f ca="1">1.05014900517724*OFFSET($L$112,MATCH($N$1,$C$112:$C$113,0)-1,0)</f>
        <v>1.05014900517724</v>
      </c>
      <c r="E134" s="66">
        <f ca="1">0.0445353134645797*OFFSET($L$112,MATCH($N$1,$C$112:$C$113,0)-1,0)</f>
        <v>4.4535313464579701E-2</v>
      </c>
      <c r="F134" s="67">
        <f ca="1">0.993234027095683*OFFSET($L$112,MATCH($N$1,$C$112:$C$113,0)-1,0)</f>
        <v>0.99323402709568298</v>
      </c>
      <c r="G134" s="206"/>
      <c r="H134" s="206"/>
      <c r="I134" s="206"/>
      <c r="J134" s="206"/>
      <c r="K134" s="206"/>
      <c r="L134" s="206"/>
      <c r="M134" s="206"/>
      <c r="N134" s="206"/>
      <c r="O134" s="206"/>
    </row>
    <row r="135" spans="1:15" ht="18" customHeight="1">
      <c r="A135" s="187" t="s">
        <v>254</v>
      </c>
      <c r="B135" s="35" t="s">
        <v>255</v>
      </c>
      <c r="C135" s="68">
        <f ca="1">30.218025390625*OFFSET($L$112,MATCH($N$1,$C$112:$C$113,0)-1,0)</f>
        <v>30.218025390625002</v>
      </c>
      <c r="D135" s="68">
        <f ca="1">38.698501953125*OFFSET($L$112,MATCH($N$1,$C$112:$C$113,0)-1,0)</f>
        <v>38.698501953125003</v>
      </c>
      <c r="E135" s="68">
        <f ca="1">37.86945703125*OFFSET($L$112,MATCH($N$1,$C$112:$C$113,0)-1,0)</f>
        <v>37.869457031250001</v>
      </c>
      <c r="F135" s="69">
        <f ca="1">36.37112109375*OFFSET($L$112,MATCH($N$1,$C$112:$C$113,0)-1,0)</f>
        <v>36.371121093749998</v>
      </c>
      <c r="G135" s="206"/>
      <c r="H135" s="206"/>
      <c r="I135" s="206"/>
      <c r="J135" s="206"/>
      <c r="K135" s="206"/>
      <c r="L135" s="206"/>
      <c r="M135" s="206"/>
      <c r="N135" s="206"/>
      <c r="O135" s="206"/>
    </row>
    <row r="136" spans="1:15" ht="18" customHeight="1">
      <c r="A136" s="188"/>
      <c r="B136" s="35" t="s">
        <v>256</v>
      </c>
      <c r="C136" s="30">
        <v>57587.33203125</v>
      </c>
      <c r="D136" s="30">
        <v>73694.336226369953</v>
      </c>
      <c r="E136" s="30">
        <v>72153.332366729155</v>
      </c>
      <c r="F136" s="70">
        <v>69282.333333333328</v>
      </c>
      <c r="G136" s="206"/>
      <c r="H136" s="206"/>
      <c r="I136" s="206"/>
      <c r="J136" s="206"/>
      <c r="K136" s="206"/>
      <c r="L136" s="206"/>
      <c r="M136" s="206"/>
      <c r="N136" s="206"/>
      <c r="O136" s="206"/>
    </row>
    <row r="137" spans="1:15" ht="18" customHeight="1">
      <c r="A137" s="188"/>
      <c r="B137" s="35" t="s">
        <v>257</v>
      </c>
      <c r="C137" s="30">
        <v>342.78173828125</v>
      </c>
      <c r="D137" s="30">
        <v>448.80836889091523</v>
      </c>
      <c r="E137" s="30">
        <v>465.10528564453125</v>
      </c>
      <c r="F137" s="70">
        <v>425.34942626953125</v>
      </c>
      <c r="G137" s="206"/>
      <c r="H137" s="206"/>
      <c r="I137" s="206"/>
      <c r="J137" s="206"/>
      <c r="K137" s="206"/>
      <c r="L137" s="206"/>
      <c r="M137" s="206"/>
      <c r="N137" s="206"/>
      <c r="O137" s="206"/>
    </row>
    <row r="138" spans="1:15" ht="18" customHeight="1">
      <c r="A138" s="188"/>
      <c r="B138" s="35" t="s">
        <v>258</v>
      </c>
      <c r="C138" s="30">
        <f ca="1">179.86919875372*OFFSET($L$112,MATCH($N$1,$C$112:$C$113,0)-1,0)</f>
        <v>179.86919875372001</v>
      </c>
      <c r="D138" s="30">
        <f ca="1">235.679055263532*OFFSET($L$112,MATCH($N$1,$C$112:$C$113,0)-1,0)</f>
        <v>235.67905526353201</v>
      </c>
      <c r="E138" s="30">
        <f ca="1">244.109094507249*OFFSET($L$112,MATCH($N$1,$C$112:$C$113,0)-1,0)</f>
        <v>244.10909450724901</v>
      </c>
      <c r="F138" s="70">
        <f ca="1">223.295538000896*OFFSET($L$112,MATCH($N$1,$C$112:$C$113,0)-1,0)</f>
        <v>223.29553800089599</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343.84376563178*OFFSET($L$112,MATCH($N$1,$C$112:$C$113,0)-1,0)</f>
        <v>343.84376563178</v>
      </c>
      <c r="D139" s="30">
        <f ca="1">497.308105933119*OFFSET($L$112,MATCH($N$1,$C$112:$C$113,0)-1,0)</f>
        <v>497.30810593311901</v>
      </c>
      <c r="E139" s="30">
        <f ca="1">813.767791775144*OFFSET($L$112,MATCH($N$1,$C$112:$C$113,0)-1,0)</f>
        <v>813.76779177514402</v>
      </c>
      <c r="F139" s="70">
        <f ca="1">501.582646413703*OFFSET($L$112,MATCH($N$1,$C$112:$C$113,0)-1,0)</f>
        <v>501.582646413703</v>
      </c>
      <c r="G139" s="206"/>
      <c r="H139" s="206"/>
      <c r="I139" s="46"/>
      <c r="J139" s="206"/>
      <c r="K139" s="71" t="s">
        <v>260</v>
      </c>
      <c r="L139" s="72">
        <f t="shared" ref="L139:M141" ca="1" si="2">C140</f>
        <v>265.96346875</v>
      </c>
      <c r="M139" s="72">
        <f t="shared" ca="1" si="2"/>
        <v>229.79292187499999</v>
      </c>
      <c r="N139" s="72">
        <f ca="1">E140</f>
        <v>129.86514843750001</v>
      </c>
      <c r="O139" s="72"/>
    </row>
    <row r="140" spans="1:15" ht="18" customHeight="1">
      <c r="A140" s="166" t="s">
        <v>261</v>
      </c>
      <c r="B140" s="33" t="s">
        <v>262</v>
      </c>
      <c r="C140" s="73">
        <f ca="1">265.96346875*OFFSET($L$112,MATCH($N$1,$C$112:$C$113,0)-1,0)</f>
        <v>265.96346875</v>
      </c>
      <c r="D140" s="73">
        <f ca="1">229.792921875*OFFSET($L$112,MATCH($N$1,$C$112:$C$113,0)-1,0)</f>
        <v>229.79292187499999</v>
      </c>
      <c r="E140" s="73">
        <f ca="1">129.8651484375*OFFSET($L$112,MATCH($N$1,$C$112:$C$113,0)-1,0)</f>
        <v>129.86514843750001</v>
      </c>
      <c r="F140" s="74">
        <f ca="1">213.853609375*OFFSET($L$112,MATCH($N$1,$C$112:$C$113,0)-1,0)</f>
        <v>213.85360937499999</v>
      </c>
      <c r="G140" s="206"/>
      <c r="H140" s="206"/>
      <c r="I140" s="46"/>
      <c r="J140" s="206"/>
      <c r="K140" s="71" t="s">
        <v>263</v>
      </c>
      <c r="L140" s="72">
        <f t="shared" ca="1" si="2"/>
        <v>216.03898437500001</v>
      </c>
      <c r="M140" s="72">
        <f t="shared" ca="1" si="2"/>
        <v>199.24814843749999</v>
      </c>
      <c r="N140" s="72">
        <f ca="1">E141</f>
        <v>128.60246875000001</v>
      </c>
      <c r="O140" s="72"/>
    </row>
    <row r="141" spans="1:15" ht="18" customHeight="1">
      <c r="A141" s="167"/>
      <c r="B141" s="35" t="s">
        <v>264</v>
      </c>
      <c r="C141" s="30">
        <f ca="1">216.038984375*OFFSET($L$112,MATCH($N$1,$C$112:$C$113,0)-1,0)</f>
        <v>216.03898437500001</v>
      </c>
      <c r="D141" s="30">
        <f ca="1">199.2481484375*OFFSET($L$112,MATCH($N$1,$C$112:$C$113,0)-1,0)</f>
        <v>199.24814843749999</v>
      </c>
      <c r="E141" s="30">
        <f ca="1">128.60246875*OFFSET($L$112,MATCH($N$1,$C$112:$C$113,0)-1,0)</f>
        <v>128.60246875000001</v>
      </c>
      <c r="F141" s="70">
        <f ca="1">185.7844375*OFFSET($L$112,MATCH($N$1,$C$112:$C$113,0)-1,0)</f>
        <v>185.7844375</v>
      </c>
      <c r="G141" s="206"/>
      <c r="H141" s="206"/>
      <c r="I141" s="46"/>
      <c r="J141" s="206"/>
      <c r="K141" s="71" t="s">
        <v>265</v>
      </c>
      <c r="L141" s="72">
        <f t="shared" ca="1" si="2"/>
        <v>49.924484374999999</v>
      </c>
      <c r="M141" s="72">
        <f t="shared" ca="1" si="2"/>
        <v>30.544773437500002</v>
      </c>
      <c r="N141" s="72">
        <f ca="1">E142</f>
        <v>1.2626796874999999</v>
      </c>
      <c r="O141" s="72"/>
    </row>
    <row r="142" spans="1:15" ht="18" customHeight="1">
      <c r="A142" s="168"/>
      <c r="B142" s="37" t="s">
        <v>266</v>
      </c>
      <c r="C142" s="38">
        <f ca="1">49.924484375*OFFSET($L$112,MATCH($N$1,$C$112:$C$113,0)-1,0)</f>
        <v>49.924484374999999</v>
      </c>
      <c r="D142" s="38">
        <f ca="1">30.5447734375*OFFSET($L$112,MATCH($N$1,$C$112:$C$113,0)-1,0)</f>
        <v>30.544773437500002</v>
      </c>
      <c r="E142" s="38">
        <f ca="1">1.2626796875*OFFSET($L$112,MATCH($N$1,$C$112:$C$113,0)-1,0)</f>
        <v>1.2626796874999999</v>
      </c>
      <c r="F142" s="63">
        <f ca="1">28.069173828125*OFFSET($L$112,MATCH($N$1,$C$112:$C$113,0)-1,0)</f>
        <v>28.069173828124999</v>
      </c>
      <c r="G142" s="206"/>
      <c r="H142" s="206"/>
      <c r="I142" s="46"/>
      <c r="J142" s="206"/>
      <c r="K142" s="71" t="s">
        <v>267</v>
      </c>
      <c r="L142" s="75">
        <f ca="1">IFERROR(L140/L$139,"")</f>
        <v>0.81228818901468025</v>
      </c>
      <c r="M142" s="75">
        <f t="shared" ref="M142:N143" ca="1" si="3">IFERROR(M140/M$139,"")</f>
        <v>0.86707696134298085</v>
      </c>
      <c r="N142" s="75">
        <f t="shared" ca="1" si="3"/>
        <v>0.9902769934605844</v>
      </c>
      <c r="O142" s="75"/>
    </row>
    <row r="143" spans="1:15" ht="18" customHeight="1">
      <c r="A143" s="206"/>
      <c r="B143" s="206"/>
      <c r="C143" s="206"/>
      <c r="D143" s="206"/>
      <c r="E143" s="206"/>
      <c r="F143" s="206"/>
      <c r="G143" s="206"/>
      <c r="H143" s="206"/>
      <c r="I143" s="46"/>
      <c r="J143" s="206"/>
      <c r="K143" s="71" t="s">
        <v>268</v>
      </c>
      <c r="L143" s="75">
        <f ca="1">IFERROR(L141/L$139,"")</f>
        <v>0.18771181098531975</v>
      </c>
      <c r="M143" s="75">
        <f t="shared" ca="1" si="3"/>
        <v>0.13292303865701913</v>
      </c>
      <c r="N143" s="75">
        <f t="shared" ca="1" si="3"/>
        <v>9.7230065394156746E-3</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11</v>
      </c>
      <c r="B161" s="51"/>
      <c r="C161" s="76" t="s">
        <v>249</v>
      </c>
      <c r="D161" s="76" t="s">
        <v>270</v>
      </c>
      <c r="E161" s="76" t="s">
        <v>251</v>
      </c>
      <c r="F161" s="76" t="s">
        <v>271</v>
      </c>
      <c r="G161" s="77">
        <v>11</v>
      </c>
      <c r="H161" s="76"/>
      <c r="I161" s="76" t="s">
        <v>249</v>
      </c>
      <c r="J161" s="76" t="s">
        <v>270</v>
      </c>
      <c r="K161" s="76" t="s">
        <v>251</v>
      </c>
      <c r="L161" s="51" t="s">
        <v>271</v>
      </c>
      <c r="R161" s="206"/>
      <c r="S161" s="206"/>
    </row>
    <row r="162" spans="1:19" s="46" customFormat="1">
      <c r="A162" s="47">
        <v>1</v>
      </c>
      <c r="B162" s="51" t="s">
        <v>160</v>
      </c>
      <c r="C162" s="51">
        <v>0.91557037576864297</v>
      </c>
      <c r="D162" s="51">
        <v>0.9425375236905108</v>
      </c>
      <c r="E162" s="51">
        <v>0.97306673486830741</v>
      </c>
      <c r="F162" s="47">
        <v>12153634</v>
      </c>
      <c r="G162" s="47">
        <v>1</v>
      </c>
      <c r="H162" s="51" t="s">
        <v>160</v>
      </c>
      <c r="I162" s="51">
        <v>0.95014005691857717</v>
      </c>
      <c r="J162" s="51">
        <v>0.95198220972614533</v>
      </c>
      <c r="K162" s="51">
        <v>0.98914669064771765</v>
      </c>
      <c r="L162" s="47">
        <v>12153634</v>
      </c>
      <c r="R162" s="206"/>
      <c r="S162" s="206"/>
    </row>
    <row r="163" spans="1:19" s="46" customFormat="1">
      <c r="A163" s="47">
        <v>2</v>
      </c>
      <c r="B163" s="51" t="s">
        <v>172</v>
      </c>
      <c r="C163" s="51">
        <v>0</v>
      </c>
      <c r="D163" s="51">
        <v>2.3740898082245925E-2</v>
      </c>
      <c r="E163" s="51">
        <v>0</v>
      </c>
      <c r="F163" s="47">
        <v>553960</v>
      </c>
      <c r="G163" s="47">
        <v>2</v>
      </c>
      <c r="H163" s="51" t="s">
        <v>172</v>
      </c>
      <c r="I163" s="51">
        <v>0</v>
      </c>
      <c r="J163" s="51">
        <v>2.2278760991804279E-2</v>
      </c>
      <c r="K163" s="51">
        <v>0</v>
      </c>
      <c r="L163" s="47">
        <v>553960</v>
      </c>
      <c r="N163" s="46" t="s">
        <v>272</v>
      </c>
      <c r="R163" s="206"/>
      <c r="S163" s="206"/>
    </row>
    <row r="164" spans="1:19" s="46" customFormat="1">
      <c r="A164" s="47">
        <v>3</v>
      </c>
      <c r="B164" s="51" t="s">
        <v>169</v>
      </c>
      <c r="C164" s="51">
        <v>0</v>
      </c>
      <c r="D164" s="51">
        <v>1.7126312470500647E-2</v>
      </c>
      <c r="E164" s="51">
        <v>0</v>
      </c>
      <c r="F164" s="47">
        <v>3050596</v>
      </c>
      <c r="G164" s="47">
        <v>3</v>
      </c>
      <c r="H164" s="51" t="s">
        <v>169</v>
      </c>
      <c r="I164" s="51">
        <v>0</v>
      </c>
      <c r="J164" s="51">
        <v>1.9740794373057889E-2</v>
      </c>
      <c r="K164" s="51">
        <v>0</v>
      </c>
      <c r="L164" s="47">
        <v>3050596</v>
      </c>
      <c r="N164" s="46" t="s">
        <v>273</v>
      </c>
      <c r="R164" s="206"/>
      <c r="S164" s="206"/>
    </row>
    <row r="165" spans="1:19" s="46" customFormat="1">
      <c r="A165" s="47">
        <v>4</v>
      </c>
      <c r="B165" s="51" t="s">
        <v>274</v>
      </c>
      <c r="C165" s="51">
        <v>0</v>
      </c>
      <c r="D165" s="51">
        <v>5.4659711691710886E-3</v>
      </c>
      <c r="E165" s="51">
        <v>9.1742696740967113E-3</v>
      </c>
      <c r="F165" s="47">
        <v>2480382</v>
      </c>
      <c r="G165" s="47">
        <v>4</v>
      </c>
      <c r="H165" s="51" t="s">
        <v>161</v>
      </c>
      <c r="I165" s="51">
        <v>7.4354988250495595E-3</v>
      </c>
      <c r="J165" s="51">
        <v>1.9787661965346443E-3</v>
      </c>
      <c r="K165" s="51">
        <v>5.2921191608980012E-3</v>
      </c>
      <c r="L165" s="47">
        <v>3689192</v>
      </c>
      <c r="R165" s="206"/>
      <c r="S165" s="206"/>
    </row>
    <row r="166" spans="1:19" s="46" customFormat="1">
      <c r="A166" s="47">
        <v>5</v>
      </c>
      <c r="B166" s="51" t="s">
        <v>157</v>
      </c>
      <c r="C166" s="51">
        <v>1.2424015412445429E-2</v>
      </c>
      <c r="D166" s="51">
        <v>4.2621342854633568E-3</v>
      </c>
      <c r="E166" s="51">
        <v>4.7693593882181667E-3</v>
      </c>
      <c r="F166" s="47">
        <v>11115023</v>
      </c>
      <c r="G166" s="47">
        <v>5</v>
      </c>
      <c r="H166" s="51" t="s">
        <v>157</v>
      </c>
      <c r="I166" s="51">
        <v>6.6383473066987239E-3</v>
      </c>
      <c r="J166" s="51">
        <v>1.6070603026709556E-3</v>
      </c>
      <c r="K166" s="51">
        <v>1.8925374147668018E-3</v>
      </c>
      <c r="L166" s="47">
        <v>11115023</v>
      </c>
      <c r="R166" s="206"/>
      <c r="S166" s="206"/>
    </row>
    <row r="167" spans="1:19" s="46" customFormat="1">
      <c r="A167" s="47">
        <v>6</v>
      </c>
      <c r="B167" s="51" t="s">
        <v>161</v>
      </c>
      <c r="C167" s="51">
        <v>7.9057365151520061E-3</v>
      </c>
      <c r="D167" s="51">
        <v>0</v>
      </c>
      <c r="E167" s="51">
        <v>6.209965691514361E-3</v>
      </c>
      <c r="F167" s="47">
        <v>3689192</v>
      </c>
      <c r="G167" s="47">
        <v>6</v>
      </c>
      <c r="H167" s="51" t="s">
        <v>244</v>
      </c>
      <c r="I167" s="51">
        <v>0</v>
      </c>
      <c r="J167" s="51">
        <v>0</v>
      </c>
      <c r="K167" s="51">
        <v>1.186532427578741E-3</v>
      </c>
      <c r="L167" s="47">
        <v>7434864</v>
      </c>
      <c r="R167" s="206"/>
      <c r="S167" s="206"/>
    </row>
    <row r="168" spans="1:19" s="46" customFormat="1">
      <c r="A168" s="47">
        <v>7</v>
      </c>
      <c r="B168" s="51" t="s">
        <v>244</v>
      </c>
      <c r="C168" s="51">
        <v>0</v>
      </c>
      <c r="D168" s="51">
        <v>0</v>
      </c>
      <c r="E168" s="51">
        <v>3.9032190436687235E-3</v>
      </c>
      <c r="F168" s="47">
        <v>7434864</v>
      </c>
      <c r="G168" s="47">
        <v>7</v>
      </c>
      <c r="H168" s="51" t="s">
        <v>274</v>
      </c>
      <c r="I168" s="51">
        <v>0</v>
      </c>
      <c r="J168" s="51">
        <v>0</v>
      </c>
      <c r="K168" s="51">
        <v>8.7983030585446552E-4</v>
      </c>
      <c r="L168" s="47">
        <v>2480382</v>
      </c>
      <c r="R168" s="206"/>
      <c r="S168" s="206"/>
    </row>
    <row r="169" spans="1:19" s="46" customFormat="1">
      <c r="A169" s="47">
        <v>8</v>
      </c>
      <c r="B169" s="51" t="s">
        <v>329</v>
      </c>
      <c r="C169" s="51">
        <v>3.9354133320801385E-2</v>
      </c>
      <c r="D169" s="51">
        <v>0</v>
      </c>
      <c r="E169" s="51">
        <v>0</v>
      </c>
      <c r="F169" s="47">
        <v>1692097</v>
      </c>
      <c r="G169" s="47">
        <v>8</v>
      </c>
      <c r="H169" s="51" t="s">
        <v>329</v>
      </c>
      <c r="I169" s="51">
        <v>1.7108232878003379E-2</v>
      </c>
      <c r="J169" s="51">
        <v>0</v>
      </c>
      <c r="K169" s="51">
        <v>0</v>
      </c>
      <c r="L169" s="47">
        <v>1692097</v>
      </c>
      <c r="R169" s="206"/>
      <c r="S169" s="206"/>
    </row>
    <row r="170" spans="1:19" s="46" customFormat="1">
      <c r="A170" s="47">
        <v>9</v>
      </c>
      <c r="B170" s="51" t="s">
        <v>241</v>
      </c>
      <c r="C170" s="51">
        <v>6.6892712470940771E-3</v>
      </c>
      <c r="D170" s="51">
        <v>0</v>
      </c>
      <c r="E170" s="51">
        <v>0</v>
      </c>
      <c r="F170" s="47">
        <v>8497745</v>
      </c>
      <c r="G170" s="47">
        <v>9</v>
      </c>
      <c r="H170" s="51" t="s">
        <v>241</v>
      </c>
      <c r="I170" s="51">
        <v>6.4453513198796577E-3</v>
      </c>
      <c r="J170" s="51">
        <v>0</v>
      </c>
      <c r="K170" s="51">
        <v>0</v>
      </c>
      <c r="L170" s="47">
        <v>8497745</v>
      </c>
      <c r="R170" s="206"/>
      <c r="S170" s="206"/>
    </row>
    <row r="171" spans="1:19" s="46" customFormat="1">
      <c r="A171" s="47">
        <v>10</v>
      </c>
      <c r="B171" s="51" t="s">
        <v>245</v>
      </c>
      <c r="C171" s="51">
        <v>1.8056467735864112E-2</v>
      </c>
      <c r="D171" s="51">
        <v>6.8671603021080996E-3</v>
      </c>
      <c r="E171" s="51">
        <v>2.876451334194563E-3</v>
      </c>
      <c r="F171" s="47">
        <v>5920853</v>
      </c>
      <c r="G171" s="47">
        <v>10</v>
      </c>
      <c r="H171" s="51" t="s">
        <v>245</v>
      </c>
      <c r="I171" s="51">
        <v>1.2232512751791491E-2</v>
      </c>
      <c r="J171" s="51">
        <v>2.4124084097868481E-3</v>
      </c>
      <c r="K171" s="51">
        <v>1.6022900431843512E-3</v>
      </c>
      <c r="L171" s="47">
        <v>5920853</v>
      </c>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D700BF1B-C8AC-43B8-98A0-DF12388642E2}">
      <formula1>$C$112:$C$113</formula1>
    </dataValidation>
  </dataValidations>
  <hyperlinks>
    <hyperlink ref="O1:P1" location="Home_page" display="Back to home page" xr:uid="{1A45A2EA-E539-4882-88C9-6E3C18313732}"/>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CF6693C0-379D-44B2-9B40-F8AB8F099F67}">
          <x14:colorSeries rgb="FF323232"/>
          <x14:colorNegative rgb="FFD00000"/>
          <x14:colorAxis rgb="FF000000"/>
          <x14:colorMarkers rgb="FFD00000"/>
          <x14:colorFirst rgb="FFD00000"/>
          <x14:colorLast rgb="FFD00000"/>
          <x14:colorHigh rgb="FFD00000"/>
          <x14:colorLow rgb="FFD00000"/>
          <x14:sparklines>
            <x14:sparkline>
              <xm:f>'WOS nephrops under 250kW'!D3:N3</xm:f>
              <xm:sqref>C3</xm:sqref>
            </x14:sparkline>
            <x14:sparkline>
              <xm:f>'WOS nephrops under 250kW'!D4:N4</xm:f>
              <xm:sqref>C4</xm:sqref>
            </x14:sparkline>
            <x14:sparkline>
              <xm:f>'WOS nephrops under 250kW'!D5:N5</xm:f>
              <xm:sqref>C5</xm:sqref>
            </x14:sparkline>
            <x14:sparkline>
              <xm:f>'WOS nephrops under 250kW'!D6:N6</xm:f>
              <xm:sqref>C6</xm:sqref>
            </x14:sparkline>
            <x14:sparkline>
              <xm:f>'WOS nephrops under 250kW'!D7:N7</xm:f>
              <xm:sqref>C7</xm:sqref>
            </x14:sparkline>
            <x14:sparkline>
              <xm:f>'WOS nephrops under 250kW'!D8:N8</xm:f>
              <xm:sqref>C8</xm:sqref>
            </x14:sparkline>
            <x14:sparkline>
              <xm:f>'WOS nephrops under 250kW'!D9:N9</xm:f>
              <xm:sqref>C9</xm:sqref>
            </x14:sparkline>
            <x14:sparkline>
              <xm:f>'WOS nephrops under 250kW'!D10:N10</xm:f>
              <xm:sqref>C10</xm:sqref>
            </x14:sparkline>
            <x14:sparkline>
              <xm:f>'WOS nephrops under 250kW'!D11:N11</xm:f>
              <xm:sqref>C11</xm:sqref>
            </x14:sparkline>
            <x14:sparkline>
              <xm:f>'WOS nephrops under 250kW'!D12:N12</xm:f>
              <xm:sqref>C12</xm:sqref>
            </x14:sparkline>
            <x14:sparkline>
              <xm:f>'WOS nephrops under 250kW'!D13:N13</xm:f>
              <xm:sqref>C13</xm:sqref>
            </x14:sparkline>
            <x14:sparkline>
              <xm:f>'WOS nephrops under 250kW'!D14:N14</xm:f>
              <xm:sqref>C14</xm:sqref>
            </x14:sparkline>
            <x14:sparkline>
              <xm:f>'WOS nephrops under 250kW'!D15:N15</xm:f>
              <xm:sqref>C15</xm:sqref>
            </x14:sparkline>
            <x14:sparkline>
              <xm:f>'WOS nephrops under 250kW'!D16:N16</xm:f>
              <xm:sqref>C16</xm:sqref>
            </x14:sparkline>
            <x14:sparkline>
              <xm:f>'WOS nephrops under 250kW'!D17:N17</xm:f>
              <xm:sqref>C17</xm:sqref>
            </x14:sparkline>
            <x14:sparkline>
              <xm:f>'WOS nephrops under 250kW'!D18:N18</xm:f>
              <xm:sqref>C18</xm:sqref>
            </x14:sparkline>
            <x14:sparkline>
              <xm:f>'WOS nephrops under 250kW'!D19:N19</xm:f>
              <xm:sqref>C19</xm:sqref>
            </x14:sparkline>
            <x14:sparkline>
              <xm:f>'WOS nephrops under 250kW'!D20:N20</xm:f>
              <xm:sqref>C20</xm:sqref>
            </x14:sparkline>
            <x14:sparkline>
              <xm:f>'WOS nephrops under 250kW'!D21:N21</xm:f>
              <xm:sqref>C21</xm:sqref>
            </x14:sparkline>
            <x14:sparkline>
              <xm:f>'WOS nephrops under 250kW'!D22:N22</xm:f>
              <xm:sqref>C22</xm:sqref>
            </x14:sparkline>
            <x14:sparkline>
              <xm:f>'WOS nephrops under 250kW'!D23:N23</xm:f>
              <xm:sqref>C23</xm:sqref>
            </x14:sparkline>
            <x14:sparkline>
              <xm:f>'WOS nephrops under 250kW'!D24:N24</xm:f>
              <xm:sqref>C24</xm:sqref>
            </x14:sparkline>
            <x14:sparkline>
              <xm:f>'WOS nephrops under 250kW'!D25:N25</xm:f>
              <xm:sqref>C25</xm:sqref>
            </x14:sparkline>
            <x14:sparkline>
              <xm:f>'WOS nephrops under 250kW'!D26:N26</xm:f>
              <xm:sqref>C26</xm:sqref>
            </x14:sparkline>
            <x14:sparkline>
              <xm:f>'WOS nephrops under 250kW'!D27:N27</xm:f>
              <xm:sqref>C27</xm:sqref>
            </x14:sparkline>
            <x14:sparkline>
              <xm:f>'WOS nephrops under 250kW'!D28:N28</xm:f>
              <xm:sqref>C28</xm:sqref>
            </x14:sparkline>
            <x14:sparkline>
              <xm:f>'WOS nephrops under 250kW'!D29:N29</xm:f>
              <xm:sqref>C29</xm:sqref>
            </x14:sparkline>
            <x14:sparkline>
              <xm:f>'WOS nephrops under 250kW'!D30:N30</xm:f>
              <xm:sqref>C30</xm:sqref>
            </x14:sparkline>
            <x14:sparkline>
              <xm:f>'WOS nephrops under 250kW'!D31:N31</xm:f>
              <xm:sqref>C31</xm:sqref>
            </x14:sparkline>
            <x14:sparkline>
              <xm:f>'WOS nephrops under 250kW'!D32:N32</xm:f>
              <xm:sqref>C32</xm:sqref>
            </x14:sparkline>
            <x14:sparkline>
              <xm:f>'WOS nephrops under 250kW'!D33:N33</xm:f>
              <xm:sqref>C33</xm:sqref>
            </x14:sparkline>
            <x14:sparkline>
              <xm:f>'WOS nephrops under 250kW'!D34:N34</xm:f>
              <xm:sqref>C34</xm:sqref>
            </x14:sparkline>
            <x14:sparkline>
              <xm:f>'WOS nephrops under 250kW'!D35:N35</xm:f>
              <xm:sqref>C35</xm:sqref>
            </x14:sparkline>
            <x14:sparkline>
              <xm:f>'WOS nephrops under 250kW'!D36:N36</xm:f>
              <xm:sqref>C36</xm:sqref>
            </x14:sparkline>
            <x14:sparkline>
              <xm:f>'WOS nephrops under 250kW'!D37:N37</xm:f>
              <xm:sqref>C37</xm:sqref>
            </x14:sparkline>
            <x14:sparkline>
              <xm:f>'WOS nephrops under 250kW'!D38:N38</xm:f>
              <xm:sqref>C38</xm:sqref>
            </x14:sparkline>
            <x14:sparkline>
              <xm:f>'WOS nephrops under 250kW'!D39:N39</xm:f>
              <xm:sqref>C39</xm:sqref>
            </x14:sparkline>
            <x14:sparkline>
              <xm:f>'WOS nephrops under 250kW'!D40:N40</xm:f>
              <xm:sqref>C40</xm:sqref>
            </x14:sparkline>
            <x14:sparkline>
              <xm:f>'WOS nephrops under 250kW'!D41:N41</xm:f>
              <xm:sqref>C41</xm:sqref>
            </x14:sparkline>
          </x14:sparklines>
        </x14:sparklineGroup>
      </x14:sparklineGroup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86ECE-B80D-430F-97B4-97155DE91665}">
  <sheetPr codeName="Feuil41">
    <pageSetUpPr fitToPage="1"/>
  </sheetPr>
  <dimension ref="A1:K35"/>
  <sheetViews>
    <sheetView topLeftCell="A11" workbookViewId="0">
      <selection activeCell="Q20" sqref="Q20"/>
    </sheetView>
  </sheetViews>
  <sheetFormatPr defaultColWidth="8.75" defaultRowHeight="15" customHeight="1"/>
  <cols>
    <col min="1" max="1" width="32.25" style="106" customWidth="1"/>
    <col min="2" max="11" width="6.75" style="105" customWidth="1"/>
    <col min="12" max="23" width="6.75" style="106" customWidth="1"/>
    <col min="24" max="16384" width="8.75" style="106"/>
  </cols>
  <sheetData>
    <row r="1" spans="1:11" ht="33" customHeight="1">
      <c r="A1" s="20" t="s">
        <v>642</v>
      </c>
      <c r="B1" s="20"/>
      <c r="C1" s="20"/>
      <c r="D1" s="20"/>
      <c r="E1" s="20"/>
      <c r="F1" s="20"/>
      <c r="G1" s="20"/>
      <c r="H1" s="20"/>
      <c r="I1" s="20"/>
      <c r="J1" s="189" t="s">
        <v>42</v>
      </c>
      <c r="K1" s="189"/>
    </row>
    <row r="2" spans="1:11" ht="30" customHeight="1">
      <c r="A2" s="190" t="s">
        <v>643</v>
      </c>
      <c r="B2" s="190"/>
      <c r="C2" s="190"/>
      <c r="D2" s="190"/>
      <c r="E2" s="190"/>
      <c r="F2" s="190"/>
      <c r="G2" s="190"/>
      <c r="H2" s="190"/>
      <c r="I2" s="190"/>
      <c r="J2" s="190"/>
      <c r="K2" s="190"/>
    </row>
    <row r="3" spans="1:11" ht="15" customHeight="1">
      <c r="A3" s="121"/>
      <c r="B3" s="35"/>
      <c r="C3" s="35"/>
      <c r="D3" s="35"/>
      <c r="E3" s="35"/>
      <c r="F3" s="35"/>
      <c r="G3" s="35"/>
      <c r="H3" s="35"/>
      <c r="I3" s="35"/>
      <c r="J3" s="35"/>
      <c r="K3" s="35"/>
    </row>
    <row r="4" spans="1:11" ht="15" customHeight="1" thickBot="1">
      <c r="A4" s="122" t="s">
        <v>644</v>
      </c>
      <c r="B4" s="123">
        <v>2010</v>
      </c>
      <c r="C4" s="123">
        <v>2011</v>
      </c>
      <c r="D4" s="123">
        <v>2012</v>
      </c>
      <c r="E4" s="123">
        <v>2013</v>
      </c>
      <c r="F4" s="123">
        <v>2014</v>
      </c>
      <c r="G4" s="123">
        <v>2015</v>
      </c>
      <c r="H4" s="123">
        <v>2016</v>
      </c>
      <c r="I4" s="123">
        <v>2017</v>
      </c>
      <c r="J4" s="123">
        <v>2018</v>
      </c>
      <c r="K4" s="123">
        <v>2019</v>
      </c>
    </row>
    <row r="5" spans="1:11" ht="15" customHeight="1">
      <c r="A5" s="110" t="s">
        <v>10</v>
      </c>
      <c r="B5" s="111">
        <v>0.23076923076923078</v>
      </c>
      <c r="C5" s="111">
        <v>8.3333333333333329E-2</v>
      </c>
      <c r="D5" s="111">
        <v>0</v>
      </c>
      <c r="E5" s="111">
        <v>0.4</v>
      </c>
      <c r="F5" s="111">
        <v>0.1111111111111111</v>
      </c>
      <c r="G5" s="111">
        <v>0.25</v>
      </c>
      <c r="H5" s="111">
        <v>0.13333333333333333</v>
      </c>
      <c r="I5" s="111">
        <v>0.2857142857142857</v>
      </c>
      <c r="J5" s="111">
        <v>0.1</v>
      </c>
      <c r="K5" s="111">
        <v>9.0909090909090912E-2</v>
      </c>
    </row>
    <row r="6" spans="1:11" ht="15" customHeight="1">
      <c r="A6" s="112" t="s">
        <v>11</v>
      </c>
      <c r="B6" s="111">
        <v>0.17241379310344829</v>
      </c>
      <c r="C6" s="111">
        <v>0.25806451612903225</v>
      </c>
      <c r="D6" s="111">
        <v>0.14705882352941177</v>
      </c>
      <c r="E6" s="111">
        <v>0.21951219512195122</v>
      </c>
      <c r="F6" s="111">
        <v>0.16216216216216217</v>
      </c>
      <c r="G6" s="111">
        <v>0.16666666666666666</v>
      </c>
      <c r="H6" s="111">
        <v>0.125</v>
      </c>
      <c r="I6" s="111">
        <v>0.23333333333333334</v>
      </c>
      <c r="J6" s="111">
        <v>0.19354838709677419</v>
      </c>
      <c r="K6" s="111">
        <v>0.2413793103448276</v>
      </c>
    </row>
    <row r="7" spans="1:11" ht="15" customHeight="1">
      <c r="A7" s="112" t="s">
        <v>12</v>
      </c>
      <c r="B7" s="111">
        <v>0.23333333333333334</v>
      </c>
      <c r="C7" s="111">
        <v>0.21666666666666667</v>
      </c>
      <c r="D7" s="111">
        <v>0.12698412698412698</v>
      </c>
      <c r="E7" s="111">
        <v>0.17543859649122806</v>
      </c>
      <c r="F7" s="111">
        <v>0.2608695652173913</v>
      </c>
      <c r="G7" s="111">
        <v>0.21951219512195122</v>
      </c>
      <c r="H7" s="111">
        <v>0.21428571428571427</v>
      </c>
      <c r="I7" s="111">
        <v>0.25</v>
      </c>
      <c r="J7" s="111">
        <v>0.18181818181818182</v>
      </c>
      <c r="K7" s="111">
        <v>0.16666666666666666</v>
      </c>
    </row>
    <row r="8" spans="1:11" ht="15" customHeight="1">
      <c r="A8" s="112" t="s">
        <v>13</v>
      </c>
      <c r="B8" s="111">
        <v>6.6666666666666666E-2</v>
      </c>
      <c r="C8" s="111">
        <v>6.6666666666666666E-2</v>
      </c>
      <c r="D8" s="111">
        <v>0</v>
      </c>
      <c r="E8" s="111">
        <v>0</v>
      </c>
      <c r="F8" s="111">
        <v>8.3333333333333329E-2</v>
      </c>
      <c r="G8" s="111">
        <v>7.6923076923076927E-2</v>
      </c>
      <c r="H8" s="111">
        <v>9.0909090909090912E-2</v>
      </c>
      <c r="I8" s="111">
        <v>7.6923076923076927E-2</v>
      </c>
      <c r="J8" s="111">
        <v>0</v>
      </c>
      <c r="K8" s="111">
        <v>7.1428571428571425E-2</v>
      </c>
    </row>
    <row r="9" spans="1:11" ht="15" customHeight="1">
      <c r="A9" s="112" t="s">
        <v>14</v>
      </c>
      <c r="B9" s="111">
        <v>0.17741935483870969</v>
      </c>
      <c r="C9" s="111">
        <v>4.9180327868852458E-2</v>
      </c>
      <c r="D9" s="111">
        <v>0.15</v>
      </c>
      <c r="E9" s="111">
        <v>0.14754098360655737</v>
      </c>
      <c r="F9" s="111">
        <v>0.18461538461538463</v>
      </c>
      <c r="G9" s="111">
        <v>0.17647058823529413</v>
      </c>
      <c r="H9" s="111">
        <v>0.17460317460317459</v>
      </c>
      <c r="I9" s="111">
        <v>0.24590163934426229</v>
      </c>
      <c r="J9" s="111">
        <v>0.16949152542372881</v>
      </c>
      <c r="K9" s="111">
        <v>5.5555555555555552E-2</v>
      </c>
    </row>
    <row r="10" spans="1:11" ht="15" customHeight="1">
      <c r="A10" s="112" t="s">
        <v>15</v>
      </c>
      <c r="B10" s="111">
        <v>7.6923076923076927E-2</v>
      </c>
      <c r="C10" s="111">
        <v>0.1951219512195122</v>
      </c>
      <c r="D10" s="111">
        <v>0.17499999999999999</v>
      </c>
      <c r="E10" s="111">
        <v>0.10810810810810811</v>
      </c>
      <c r="F10" s="111">
        <v>0.1388888888888889</v>
      </c>
      <c r="G10" s="111">
        <v>0.22580645161290322</v>
      </c>
      <c r="H10" s="111">
        <v>0.23333333333333334</v>
      </c>
      <c r="I10" s="111">
        <v>0.23333333333333334</v>
      </c>
      <c r="J10" s="111">
        <v>0.23076923076923078</v>
      </c>
      <c r="K10" s="111">
        <v>0.22222222222222221</v>
      </c>
    </row>
    <row r="11" spans="1:11" ht="15" customHeight="1">
      <c r="A11" s="112" t="s">
        <v>17</v>
      </c>
      <c r="B11" s="111">
        <v>0.08</v>
      </c>
      <c r="C11" s="111">
        <v>0</v>
      </c>
      <c r="D11" s="111">
        <v>0.08</v>
      </c>
      <c r="E11" s="111">
        <v>0.08</v>
      </c>
      <c r="F11" s="111">
        <v>7.407407407407407E-2</v>
      </c>
      <c r="G11" s="111">
        <v>0.13043478260869565</v>
      </c>
      <c r="H11" s="111">
        <v>0.11538461538461539</v>
      </c>
      <c r="I11" s="111">
        <v>0.10714285714285714</v>
      </c>
      <c r="J11" s="111">
        <v>6.6666666666666666E-2</v>
      </c>
      <c r="K11" s="111">
        <v>6.4516129032258063E-2</v>
      </c>
    </row>
    <row r="12" spans="1:11" ht="15" customHeight="1">
      <c r="A12" s="112" t="s">
        <v>18</v>
      </c>
      <c r="B12" s="111">
        <v>8.7499999999999994E-2</v>
      </c>
      <c r="C12" s="111">
        <v>4.6153846153846156E-2</v>
      </c>
      <c r="D12" s="111">
        <v>8.4745762711864403E-2</v>
      </c>
      <c r="E12" s="111">
        <v>5.8823529411764705E-2</v>
      </c>
      <c r="F12" s="111">
        <v>6.7796610169491525E-2</v>
      </c>
      <c r="G12" s="111">
        <v>6.25E-2</v>
      </c>
      <c r="H12" s="111">
        <v>1.9230769230769232E-2</v>
      </c>
      <c r="I12" s="111">
        <v>0</v>
      </c>
      <c r="J12" s="111">
        <v>0</v>
      </c>
      <c r="K12" s="111">
        <v>0</v>
      </c>
    </row>
    <row r="13" spans="1:11" ht="15" customHeight="1">
      <c r="A13" s="112" t="s">
        <v>19</v>
      </c>
      <c r="B13" s="111">
        <v>8.5275724843661173E-3</v>
      </c>
      <c r="C13" s="111">
        <v>5.2785923753665689E-3</v>
      </c>
      <c r="D13" s="111">
        <v>1.9801980198019802E-2</v>
      </c>
      <c r="E13" s="111">
        <v>1.7867778439547351E-2</v>
      </c>
      <c r="F13" s="111">
        <v>2.7301587301587302E-2</v>
      </c>
      <c r="G13" s="111">
        <v>2.9097387173396674E-2</v>
      </c>
      <c r="H13" s="111">
        <v>2.6331538001196888E-2</v>
      </c>
      <c r="I13" s="111">
        <v>2.0320197044334975E-2</v>
      </c>
      <c r="J13" s="111">
        <v>2.0287958115183247E-2</v>
      </c>
      <c r="K13" s="111">
        <v>2.0107238605898123E-2</v>
      </c>
    </row>
    <row r="14" spans="1:11" ht="15" customHeight="1">
      <c r="A14" s="112" t="s">
        <v>20</v>
      </c>
      <c r="B14" s="111">
        <v>0.7</v>
      </c>
      <c r="C14" s="111">
        <v>0.55555555555555558</v>
      </c>
      <c r="D14" s="111">
        <v>0.625</v>
      </c>
      <c r="E14" s="111">
        <v>0.18181818181818182</v>
      </c>
      <c r="F14" s="111">
        <v>9.0909090909090912E-2</v>
      </c>
      <c r="G14" s="111">
        <v>0.4</v>
      </c>
      <c r="H14" s="111">
        <v>0.22222222222222221</v>
      </c>
      <c r="I14" s="111">
        <v>0</v>
      </c>
      <c r="J14" s="111">
        <v>0.14285714285714285</v>
      </c>
      <c r="K14" s="111">
        <v>0</v>
      </c>
    </row>
    <row r="15" spans="1:11" ht="15" customHeight="1">
      <c r="A15" s="112" t="s">
        <v>21</v>
      </c>
      <c r="B15" s="111">
        <v>0.55555555555555558</v>
      </c>
      <c r="C15" s="111">
        <v>0.69230769230769229</v>
      </c>
      <c r="D15" s="111">
        <v>0.64</v>
      </c>
      <c r="E15" s="111">
        <v>0.3888888888888889</v>
      </c>
      <c r="F15" s="111">
        <v>0.35</v>
      </c>
      <c r="G15" s="111">
        <v>0.5</v>
      </c>
      <c r="H15" s="111">
        <v>0.36363636363636365</v>
      </c>
      <c r="I15" s="111">
        <v>0.35</v>
      </c>
      <c r="J15" s="111">
        <v>0.31818181818181818</v>
      </c>
      <c r="K15" s="111">
        <v>0.2857142857142857</v>
      </c>
    </row>
    <row r="16" spans="1:11" ht="15" customHeight="1">
      <c r="A16" s="112" t="s">
        <v>22</v>
      </c>
      <c r="B16" s="111">
        <v>0.42708333333333331</v>
      </c>
      <c r="C16" s="111">
        <v>0.44578313253012047</v>
      </c>
      <c r="D16" s="111">
        <v>0.47222222222222221</v>
      </c>
      <c r="E16" s="111">
        <v>0.35185185185185186</v>
      </c>
      <c r="F16" s="111">
        <v>0.4576271186440678</v>
      </c>
      <c r="G16" s="111">
        <v>0.44186046511627908</v>
      </c>
      <c r="H16" s="111">
        <v>0.55102040816326525</v>
      </c>
      <c r="I16" s="111">
        <v>0.62264150943396224</v>
      </c>
      <c r="J16" s="111">
        <v>0.42499999999999999</v>
      </c>
      <c r="K16" s="111">
        <v>0.18055555555555555</v>
      </c>
    </row>
    <row r="17" spans="1:11" ht="15" customHeight="1">
      <c r="A17" s="112" t="s">
        <v>23</v>
      </c>
      <c r="B17" s="111">
        <v>0.27397260273972601</v>
      </c>
      <c r="C17" s="111">
        <v>0.2153846153846154</v>
      </c>
      <c r="D17" s="111">
        <v>0.13636363636363635</v>
      </c>
      <c r="E17" s="111">
        <v>0.17543859649122806</v>
      </c>
      <c r="F17" s="111">
        <v>0.24285714285714285</v>
      </c>
      <c r="G17" s="111">
        <v>0.36206896551724138</v>
      </c>
      <c r="H17" s="111">
        <v>0.34920634920634919</v>
      </c>
      <c r="I17" s="111">
        <v>0.27142857142857141</v>
      </c>
      <c r="J17" s="111">
        <v>0.22222222222222221</v>
      </c>
      <c r="K17" s="111">
        <v>6.1538461538461542E-2</v>
      </c>
    </row>
    <row r="18" spans="1:11" ht="15" customHeight="1">
      <c r="A18" s="112" t="s">
        <v>24</v>
      </c>
      <c r="B18" s="111">
        <v>0.56000000000000005</v>
      </c>
      <c r="C18" s="111">
        <v>0.51111111111111107</v>
      </c>
      <c r="D18" s="111">
        <v>0.58695652173913049</v>
      </c>
      <c r="E18" s="111">
        <v>0.51020408163265307</v>
      </c>
      <c r="F18" s="111">
        <v>0.69444444444444442</v>
      </c>
      <c r="G18" s="111">
        <v>0.72093023255813948</v>
      </c>
      <c r="H18" s="111">
        <v>0.52272727272727271</v>
      </c>
      <c r="I18" s="111">
        <v>0.48837209302325579</v>
      </c>
      <c r="J18" s="111">
        <v>0.46666666666666667</v>
      </c>
      <c r="K18" s="111">
        <v>0.33333333333333331</v>
      </c>
    </row>
    <row r="19" spans="1:11" ht="15" customHeight="1">
      <c r="A19" s="112" t="s">
        <v>25</v>
      </c>
      <c r="B19" s="111">
        <v>0.60526315789473684</v>
      </c>
      <c r="C19" s="111">
        <v>0.5625</v>
      </c>
      <c r="D19" s="111">
        <v>0.46666666666666667</v>
      </c>
      <c r="E19" s="111">
        <v>0.45</v>
      </c>
      <c r="F19" s="111">
        <v>0.6</v>
      </c>
      <c r="G19" s="111">
        <v>0.42857142857142855</v>
      </c>
      <c r="H19" s="111">
        <v>0.28000000000000003</v>
      </c>
      <c r="I19" s="111">
        <v>0.36</v>
      </c>
      <c r="J19" s="111">
        <v>0.4</v>
      </c>
      <c r="K19" s="111">
        <v>0.39130434782608697</v>
      </c>
    </row>
    <row r="20" spans="1:11" ht="15" customHeight="1">
      <c r="A20" s="112" t="s">
        <v>26</v>
      </c>
      <c r="B20" s="111">
        <v>0.4</v>
      </c>
      <c r="C20" s="111">
        <v>0.47058823529411764</v>
      </c>
      <c r="D20" s="111">
        <v>0.69230769230769229</v>
      </c>
      <c r="E20" s="111">
        <v>0.41176470588235292</v>
      </c>
      <c r="F20" s="111">
        <v>0.63157894736842102</v>
      </c>
      <c r="G20" s="111">
        <v>0.625</v>
      </c>
      <c r="H20" s="111">
        <v>0.8125</v>
      </c>
      <c r="I20" s="111">
        <v>0.52941176470588236</v>
      </c>
      <c r="J20" s="111">
        <v>0.4</v>
      </c>
      <c r="K20" s="111">
        <v>0.14285714285714285</v>
      </c>
    </row>
    <row r="21" spans="1:11" ht="15" customHeight="1">
      <c r="A21" s="112" t="s">
        <v>27</v>
      </c>
      <c r="B21" s="111">
        <v>0.43243243243243246</v>
      </c>
      <c r="C21" s="111">
        <v>0.44117647058823528</v>
      </c>
      <c r="D21" s="111">
        <v>0.5</v>
      </c>
      <c r="E21" s="111">
        <v>0.5</v>
      </c>
      <c r="F21" s="111">
        <v>0.47058823529411764</v>
      </c>
      <c r="G21" s="111">
        <v>0.46666666666666667</v>
      </c>
      <c r="H21" s="111">
        <v>0.39393939393939392</v>
      </c>
      <c r="I21" s="111">
        <v>0.45945945945945948</v>
      </c>
      <c r="J21" s="111">
        <v>0.5</v>
      </c>
      <c r="K21" s="111">
        <v>0.5</v>
      </c>
    </row>
    <row r="22" spans="1:11" ht="15" customHeight="1">
      <c r="A22" s="112" t="s">
        <v>28</v>
      </c>
      <c r="B22" s="111">
        <v>0.25</v>
      </c>
      <c r="C22" s="111">
        <v>0.14285714285714285</v>
      </c>
      <c r="D22" s="111">
        <v>0.36363636363636365</v>
      </c>
      <c r="E22" s="111">
        <v>0.42857142857142855</v>
      </c>
      <c r="F22" s="111">
        <v>0.26666666666666666</v>
      </c>
      <c r="G22" s="111">
        <v>0.27272727272727271</v>
      </c>
      <c r="H22" s="111">
        <v>0.25</v>
      </c>
      <c r="I22" s="111">
        <v>0.21052631578947367</v>
      </c>
      <c r="J22" s="111">
        <v>0.10526315789473684</v>
      </c>
      <c r="K22" s="111">
        <v>0.1111111111111111</v>
      </c>
    </row>
    <row r="23" spans="1:11" ht="15" customHeight="1">
      <c r="A23" s="112" t="s">
        <v>29</v>
      </c>
      <c r="B23" s="111">
        <v>0.10734463276836158</v>
      </c>
      <c r="C23" s="111">
        <v>0.10614525139664804</v>
      </c>
      <c r="D23" s="111">
        <v>0.13450292397660818</v>
      </c>
      <c r="E23" s="111">
        <v>0.15697674418604651</v>
      </c>
      <c r="F23" s="111">
        <v>0.1746987951807229</v>
      </c>
      <c r="G23" s="111">
        <v>0.23270440251572327</v>
      </c>
      <c r="H23" s="111">
        <v>0.18857142857142858</v>
      </c>
      <c r="I23" s="111">
        <v>0.16201117318435754</v>
      </c>
      <c r="J23" s="111">
        <v>0.13368983957219252</v>
      </c>
      <c r="K23" s="111">
        <v>8.8397790055248615E-2</v>
      </c>
    </row>
    <row r="24" spans="1:11" ht="15" customHeight="1">
      <c r="A24" s="112" t="s">
        <v>30</v>
      </c>
      <c r="B24" s="111">
        <v>0.14102564102564102</v>
      </c>
      <c r="C24" s="111">
        <v>0.1</v>
      </c>
      <c r="D24" s="111">
        <v>0.22500000000000001</v>
      </c>
      <c r="E24" s="111">
        <v>0.31395348837209303</v>
      </c>
      <c r="F24" s="111">
        <v>0.26373626373626374</v>
      </c>
      <c r="G24" s="111">
        <v>0.23157894736842105</v>
      </c>
      <c r="H24" s="111">
        <v>0.18478260869565216</v>
      </c>
      <c r="I24" s="111">
        <v>0.21978021978021978</v>
      </c>
      <c r="J24" s="111">
        <v>0.1326530612244898</v>
      </c>
      <c r="K24" s="111">
        <v>0.15238095238095239</v>
      </c>
    </row>
    <row r="25" spans="1:11" ht="15" customHeight="1">
      <c r="A25" s="112" t="s">
        <v>31</v>
      </c>
      <c r="B25" s="111">
        <v>0.77272727272727271</v>
      </c>
      <c r="C25" s="111">
        <v>0.81818181818181823</v>
      </c>
      <c r="D25" s="111">
        <v>0.84210526315789469</v>
      </c>
      <c r="E25" s="111">
        <v>0.15789473684210525</v>
      </c>
      <c r="F25" s="111">
        <v>0.2</v>
      </c>
      <c r="G25" s="111">
        <v>0.72727272727272729</v>
      </c>
      <c r="H25" s="111">
        <v>0.82608695652173914</v>
      </c>
      <c r="I25" s="111">
        <v>0.38461538461538464</v>
      </c>
      <c r="J25" s="111">
        <v>0.38461538461538464</v>
      </c>
      <c r="K25" s="111">
        <v>0.42307692307692307</v>
      </c>
    </row>
    <row r="26" spans="1:11" ht="15" customHeight="1">
      <c r="A26" s="112" t="s">
        <v>32</v>
      </c>
      <c r="B26" s="111">
        <v>0.36842105263157893</v>
      </c>
      <c r="C26" s="111">
        <v>0.21739130434782608</v>
      </c>
      <c r="D26" s="111">
        <v>0.29629629629629628</v>
      </c>
      <c r="E26" s="111">
        <v>0.32</v>
      </c>
      <c r="F26" s="111">
        <v>0.39130434782608697</v>
      </c>
      <c r="G26" s="111">
        <v>0.375</v>
      </c>
      <c r="H26" s="111">
        <v>0.17391304347826086</v>
      </c>
      <c r="I26" s="111">
        <v>0.40909090909090912</v>
      </c>
      <c r="J26" s="111">
        <v>0.44</v>
      </c>
      <c r="K26" s="111">
        <v>0.31818181818181818</v>
      </c>
    </row>
    <row r="27" spans="1:11" ht="15" customHeight="1">
      <c r="A27" s="112" t="s">
        <v>35</v>
      </c>
      <c r="B27" s="111">
        <v>0.12385321100917432</v>
      </c>
      <c r="C27" s="111">
        <v>7.441860465116279E-2</v>
      </c>
      <c r="D27" s="111">
        <v>0.11659192825112108</v>
      </c>
      <c r="E27" s="111">
        <v>0.12315270935960591</v>
      </c>
      <c r="F27" s="111">
        <v>0.11330049261083744</v>
      </c>
      <c r="G27" s="111">
        <v>0.10362694300518134</v>
      </c>
      <c r="H27" s="111">
        <v>0.14285714285714285</v>
      </c>
      <c r="I27" s="111">
        <v>9.7142857142857142E-2</v>
      </c>
      <c r="J27" s="111">
        <v>9.49367088607595E-2</v>
      </c>
      <c r="K27" s="111">
        <v>7.7844311377245512E-2</v>
      </c>
    </row>
    <row r="28" spans="1:11" ht="15" customHeight="1">
      <c r="A28" s="112" t="s">
        <v>36</v>
      </c>
      <c r="B28" s="111">
        <v>6.640625E-2</v>
      </c>
      <c r="C28" s="111">
        <v>6.6202090592334492E-2</v>
      </c>
      <c r="D28" s="111">
        <v>0.10424710424710425</v>
      </c>
      <c r="E28" s="111">
        <v>4.7808764940239043E-2</v>
      </c>
      <c r="F28" s="111">
        <v>8.3333333333333329E-2</v>
      </c>
      <c r="G28" s="111">
        <v>0.11607142857142858</v>
      </c>
      <c r="H28" s="111">
        <v>0.10599078341013825</v>
      </c>
      <c r="I28" s="111">
        <v>8.5561497326203204E-2</v>
      </c>
      <c r="J28" s="111">
        <v>5.6603773584905662E-2</v>
      </c>
      <c r="K28" s="111">
        <v>4.4334975369458129E-2</v>
      </c>
    </row>
    <row r="29" spans="1:11" ht="15" customHeight="1">
      <c r="A29" s="112" t="s">
        <v>37</v>
      </c>
      <c r="B29" s="111">
        <v>6.5541211519364442E-2</v>
      </c>
      <c r="C29" s="111">
        <v>4.6961325966850827E-2</v>
      </c>
      <c r="D29" s="111">
        <v>7.506950880444857E-2</v>
      </c>
      <c r="E29" s="111">
        <v>0.12087912087912088</v>
      </c>
      <c r="F29" s="111">
        <v>0.1324376199616123</v>
      </c>
      <c r="G29" s="111">
        <v>0.15034619188921861</v>
      </c>
      <c r="H29" s="111">
        <v>0.12051517939282429</v>
      </c>
      <c r="I29" s="111">
        <v>0.11649659863945579</v>
      </c>
      <c r="J29" s="111">
        <v>9.4920899250624483E-2</v>
      </c>
      <c r="K29" s="111">
        <v>6.5573770491803282E-2</v>
      </c>
    </row>
    <row r="30" spans="1:11" ht="15" customHeight="1">
      <c r="A30" s="112" t="s">
        <v>38</v>
      </c>
      <c r="B30" s="111">
        <v>5.2238805970149252E-2</v>
      </c>
      <c r="C30" s="111">
        <v>5.1470588235294115E-2</v>
      </c>
      <c r="D30" s="111">
        <v>0.10563380281690141</v>
      </c>
      <c r="E30" s="111">
        <v>6.7114093959731544E-2</v>
      </c>
      <c r="F30" s="111">
        <v>5.3691275167785234E-2</v>
      </c>
      <c r="G30" s="111">
        <v>8.7591240875912413E-2</v>
      </c>
      <c r="H30" s="111">
        <v>0.11976047904191617</v>
      </c>
      <c r="I30" s="111">
        <v>0.10344827586206896</v>
      </c>
      <c r="J30" s="111">
        <v>0.10576923076923077</v>
      </c>
      <c r="K30" s="111">
        <v>9.5959595959595953E-2</v>
      </c>
    </row>
    <row r="31" spans="1:11" ht="15" customHeight="1">
      <c r="A31" s="112" t="s">
        <v>39</v>
      </c>
      <c r="B31" s="111">
        <v>0.25</v>
      </c>
      <c r="C31" s="111">
        <v>0.17241379310344829</v>
      </c>
      <c r="D31" s="111">
        <v>0.25</v>
      </c>
      <c r="E31" s="111">
        <v>0.3783783783783784</v>
      </c>
      <c r="F31" s="111">
        <v>0.32500000000000001</v>
      </c>
      <c r="G31" s="111">
        <v>0.41463414634146339</v>
      </c>
      <c r="H31" s="111">
        <v>0.45098039215686275</v>
      </c>
      <c r="I31" s="111">
        <v>0.37209302325581395</v>
      </c>
      <c r="J31" s="111">
        <v>0.36666666666666664</v>
      </c>
      <c r="K31" s="111">
        <v>0.24</v>
      </c>
    </row>
    <row r="32" spans="1:11" ht="15" customHeight="1">
      <c r="A32" s="112" t="s">
        <v>40</v>
      </c>
      <c r="B32" s="111">
        <v>0.29807692307692307</v>
      </c>
      <c r="C32" s="111">
        <v>0.19148936170212766</v>
      </c>
      <c r="D32" s="111">
        <v>0.30303030303030304</v>
      </c>
      <c r="E32" s="111">
        <v>0.26041666666666669</v>
      </c>
      <c r="F32" s="111">
        <v>0.25555555555555554</v>
      </c>
      <c r="G32" s="111">
        <v>0.24719101123595505</v>
      </c>
      <c r="H32" s="111">
        <v>0.22222222222222221</v>
      </c>
      <c r="I32" s="111">
        <v>0.22972972972972974</v>
      </c>
      <c r="J32" s="111">
        <v>0.18032786885245902</v>
      </c>
      <c r="K32" s="111">
        <v>0.15</v>
      </c>
    </row>
    <row r="33" spans="1:11" ht="15" customHeight="1">
      <c r="A33" s="112" t="s">
        <v>33</v>
      </c>
      <c r="B33" s="111">
        <v>0.1728395061728395</v>
      </c>
      <c r="C33" s="111">
        <v>0.17499999999999999</v>
      </c>
      <c r="D33" s="111">
        <v>0.31034482758620691</v>
      </c>
      <c r="E33" s="111">
        <v>0.26041666666666669</v>
      </c>
      <c r="F33" s="111">
        <v>0.29896907216494845</v>
      </c>
      <c r="G33" s="111">
        <v>0.29347826086956524</v>
      </c>
      <c r="H33" s="111">
        <v>0.32967032967032966</v>
      </c>
      <c r="I33" s="111">
        <v>0.21590909090909091</v>
      </c>
      <c r="J33" s="111">
        <v>0.30864197530864196</v>
      </c>
      <c r="K33" s="111">
        <v>0.22368421052631579</v>
      </c>
    </row>
    <row r="34" spans="1:11" ht="15" customHeight="1">
      <c r="A34" s="112" t="s">
        <v>34</v>
      </c>
      <c r="B34" s="111">
        <v>0.1037037037037037</v>
      </c>
      <c r="C34" s="111">
        <v>0.10928961748633879</v>
      </c>
      <c r="D34" s="111">
        <v>0.12658227848101267</v>
      </c>
      <c r="E34" s="111">
        <v>0.12690355329949238</v>
      </c>
      <c r="F34" s="111">
        <v>0.18229166666666666</v>
      </c>
      <c r="G34" s="111">
        <v>0.14601769911504425</v>
      </c>
      <c r="H34" s="111">
        <v>0.15469613259668508</v>
      </c>
      <c r="I34" s="111">
        <v>0.1380952380952381</v>
      </c>
      <c r="J34" s="111">
        <v>0.13270142180094788</v>
      </c>
      <c r="K34" s="111">
        <v>0.11702127659574468</v>
      </c>
    </row>
    <row r="35" spans="1:11" ht="15" customHeight="1" thickBot="1">
      <c r="A35" s="124" t="s">
        <v>16</v>
      </c>
      <c r="B35" s="125">
        <v>2.8425241614553724E-3</v>
      </c>
      <c r="C35" s="125">
        <v>0</v>
      </c>
      <c r="D35" s="125">
        <v>0</v>
      </c>
      <c r="E35" s="125">
        <v>2.2857142857142859E-3</v>
      </c>
      <c r="F35" s="125">
        <v>4.5121263395375075E-3</v>
      </c>
      <c r="G35" s="125">
        <v>7.5449796865931515E-3</v>
      </c>
      <c r="H35" s="125">
        <v>7.1985602879424118E-3</v>
      </c>
      <c r="I35" s="125">
        <v>5.8102001291155583E-3</v>
      </c>
      <c r="J35" s="125">
        <v>6.5746219592373442E-3</v>
      </c>
      <c r="K35" s="125">
        <v>1.3764624913971094E-3</v>
      </c>
    </row>
  </sheetData>
  <mergeCells count="2">
    <mergeCell ref="J1:K1"/>
    <mergeCell ref="A2:K2"/>
  </mergeCells>
  <hyperlinks>
    <hyperlink ref="J1:K1" location="Home_page" display="Back to_x000a_home page" xr:uid="{8D5C2B02-E119-47A2-AC56-D1971C947987}"/>
  </hyperlinks>
  <pageMargins left="0.70866141732283472" right="0.70866141732283472" top="0.74803149606299213" bottom="0.74803149606299213" header="0.31496062992125984" footer="0.31496062992125984"/>
  <pageSetup paperSize="9"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F3F80-DD11-4D46-AB19-6C973183E864}">
  <sheetPr codeName="Feuil40">
    <pageSetUpPr fitToPage="1"/>
  </sheetPr>
  <dimension ref="A1:N33"/>
  <sheetViews>
    <sheetView workbookViewId="0"/>
  </sheetViews>
  <sheetFormatPr defaultColWidth="8.75" defaultRowHeight="15" customHeight="1"/>
  <cols>
    <col min="1" max="1" width="32.25" style="54" customWidth="1"/>
    <col min="2" max="2" width="6.75" style="54" customWidth="1"/>
    <col min="3" max="13" width="6.75" style="35" customWidth="1"/>
    <col min="14" max="24" width="6.75" style="54" customWidth="1"/>
    <col min="25" max="16384" width="8.75" style="54"/>
  </cols>
  <sheetData>
    <row r="1" spans="1:14" s="106" customFormat="1" ht="33" customHeight="1" thickBot="1">
      <c r="A1" s="20" t="s">
        <v>7</v>
      </c>
      <c r="B1" s="20"/>
      <c r="C1" s="20"/>
      <c r="D1" s="20"/>
      <c r="E1" s="20"/>
      <c r="F1" s="20"/>
      <c r="G1" s="20"/>
      <c r="H1" s="20"/>
      <c r="I1" s="20"/>
      <c r="L1" s="191" t="s">
        <v>42</v>
      </c>
      <c r="M1" s="191"/>
      <c r="N1" s="116"/>
    </row>
    <row r="2" spans="1:14" ht="15" customHeight="1" thickBot="1">
      <c r="A2" s="107" t="s">
        <v>644</v>
      </c>
      <c r="B2" s="108" t="s">
        <v>226</v>
      </c>
      <c r="C2" s="117">
        <v>2010</v>
      </c>
      <c r="D2" s="117">
        <v>2011</v>
      </c>
      <c r="E2" s="117">
        <v>2012</v>
      </c>
      <c r="F2" s="117">
        <v>2013</v>
      </c>
      <c r="G2" s="117">
        <v>2014</v>
      </c>
      <c r="H2" s="117">
        <v>2015</v>
      </c>
      <c r="I2" s="117">
        <v>2016</v>
      </c>
      <c r="J2" s="117">
        <v>2017</v>
      </c>
      <c r="K2" s="117">
        <v>2018</v>
      </c>
      <c r="L2" s="117">
        <v>2019</v>
      </c>
      <c r="M2" s="109" t="s">
        <v>645</v>
      </c>
      <c r="N2" s="116"/>
    </row>
    <row r="3" spans="1:14" ht="15" customHeight="1">
      <c r="A3" s="110" t="s">
        <v>10</v>
      </c>
      <c r="C3" s="111">
        <v>0.13110678130658324</v>
      </c>
      <c r="D3" s="111">
        <v>6.4624989807124972E-2</v>
      </c>
      <c r="E3" s="111">
        <v>8.8957626648430405E-2</v>
      </c>
      <c r="F3" s="111">
        <v>0.14218009568574011</v>
      </c>
      <c r="G3" s="111">
        <v>0.12252709146361837</v>
      </c>
      <c r="H3" s="111">
        <v>0.20119487638902897</v>
      </c>
      <c r="I3" s="111">
        <v>0.24547692656899059</v>
      </c>
      <c r="J3" s="111">
        <v>0.17781815345389437</v>
      </c>
      <c r="K3" s="111">
        <v>0.16612401737530491</v>
      </c>
      <c r="L3" s="111">
        <v>0.19444629745158448</v>
      </c>
      <c r="M3" s="111">
        <v>-4.6097443763635587E-2</v>
      </c>
      <c r="N3" s="116"/>
    </row>
    <row r="4" spans="1:14" ht="15" customHeight="1">
      <c r="A4" s="112" t="s">
        <v>11</v>
      </c>
      <c r="C4" s="111">
        <v>0.14194466461745883</v>
      </c>
      <c r="D4" s="111">
        <v>0.17959552775561113</v>
      </c>
      <c r="E4" s="111">
        <v>0.25504555069196622</v>
      </c>
      <c r="F4" s="111">
        <v>0.19364544456691976</v>
      </c>
      <c r="G4" s="111">
        <v>0.17141854029405046</v>
      </c>
      <c r="H4" s="111">
        <v>0.27539122159954926</v>
      </c>
      <c r="I4" s="111">
        <v>0.30219896876460406</v>
      </c>
      <c r="J4" s="111">
        <v>0.25621727236871639</v>
      </c>
      <c r="K4" s="111">
        <v>0.17046815593974857</v>
      </c>
      <c r="L4" s="111">
        <v>0.26861737706090227</v>
      </c>
      <c r="M4" s="111">
        <v>0.22718919472351773</v>
      </c>
      <c r="N4" s="116"/>
    </row>
    <row r="5" spans="1:14" ht="15" customHeight="1">
      <c r="A5" s="112" t="s">
        <v>12</v>
      </c>
      <c r="C5" s="111">
        <v>0.1781129704070642</v>
      </c>
      <c r="D5" s="111">
        <v>0.24083187813046694</v>
      </c>
      <c r="E5" s="111">
        <v>0.22282742305114853</v>
      </c>
      <c r="F5" s="111">
        <v>0.21033605941558237</v>
      </c>
      <c r="G5" s="111">
        <v>0.16296920666626746</v>
      </c>
      <c r="H5" s="111">
        <v>0.20361969168419489</v>
      </c>
      <c r="I5" s="111">
        <v>0.21953488807383431</v>
      </c>
      <c r="J5" s="111">
        <v>0.24633282404877016</v>
      </c>
      <c r="K5" s="111">
        <v>0.20616904033422076</v>
      </c>
      <c r="L5" s="111">
        <v>0.1721465862436008</v>
      </c>
      <c r="M5" s="111">
        <v>0.16855747547036565</v>
      </c>
      <c r="N5" s="116"/>
    </row>
    <row r="6" spans="1:14" ht="15" customHeight="1">
      <c r="A6" s="112" t="s">
        <v>13</v>
      </c>
      <c r="C6" s="111">
        <v>0.25657445386019834</v>
      </c>
      <c r="D6" s="111">
        <v>0.2128027641583681</v>
      </c>
      <c r="E6" s="111">
        <v>-7.9576506412938341E-3</v>
      </c>
      <c r="F6" s="111">
        <v>-9.5772558559811607E-3</v>
      </c>
      <c r="G6" s="111">
        <v>2.1263712858894224E-2</v>
      </c>
      <c r="H6" s="111">
        <v>6.7477398323561449E-2</v>
      </c>
      <c r="I6" s="111">
        <v>0.33128324882854676</v>
      </c>
      <c r="J6" s="111">
        <v>7.3227302796315813E-2</v>
      </c>
      <c r="K6" s="111">
        <v>3.4946903808006531E-2</v>
      </c>
      <c r="L6" s="111">
        <v>6.7945627035068137E-2</v>
      </c>
      <c r="M6" s="111">
        <v>3.6336959884082594E-2</v>
      </c>
      <c r="N6" s="116"/>
    </row>
    <row r="7" spans="1:14" ht="15" customHeight="1">
      <c r="A7" s="112" t="s">
        <v>14</v>
      </c>
      <c r="C7" s="111">
        <v>0.22571281465171669</v>
      </c>
      <c r="D7" s="111">
        <v>3.8553235060960901E-2</v>
      </c>
      <c r="E7" s="111">
        <v>0.18727243381660158</v>
      </c>
      <c r="F7" s="111">
        <v>0.16639180000445897</v>
      </c>
      <c r="G7" s="111">
        <v>0.23516712814615381</v>
      </c>
      <c r="H7" s="111">
        <v>0.21670076419453593</v>
      </c>
      <c r="I7" s="111">
        <v>0.32506508135584833</v>
      </c>
      <c r="J7" s="111">
        <v>0.29900709253492436</v>
      </c>
      <c r="K7" s="111">
        <v>0.22925516908911867</v>
      </c>
      <c r="L7" s="111">
        <v>0.22459095265281973</v>
      </c>
      <c r="M7" s="111">
        <v>0.14107355277744102</v>
      </c>
      <c r="N7" s="116"/>
    </row>
    <row r="8" spans="1:14" ht="15" customHeight="1">
      <c r="A8" s="112" t="s">
        <v>15</v>
      </c>
      <c r="C8" s="111">
        <v>0.28643523218457545</v>
      </c>
      <c r="D8" s="111">
        <v>6.8833911381397911E-2</v>
      </c>
      <c r="E8" s="111">
        <v>0.23642948648749906</v>
      </c>
      <c r="F8" s="111">
        <v>0.11335763688664464</v>
      </c>
      <c r="G8" s="111">
        <v>0.25672900836346751</v>
      </c>
      <c r="H8" s="111">
        <v>0.3131273140464349</v>
      </c>
      <c r="I8" s="111">
        <v>0.20494382377982834</v>
      </c>
      <c r="J8" s="111">
        <v>0.13501423784277017</v>
      </c>
      <c r="K8" s="111">
        <v>0.10762268672602301</v>
      </c>
      <c r="L8" s="111">
        <v>0.12871277145028895</v>
      </c>
      <c r="M8" s="111">
        <v>1.79627475238591E-2</v>
      </c>
      <c r="N8" s="116"/>
    </row>
    <row r="9" spans="1:14" ht="15" customHeight="1">
      <c r="A9" s="112" t="s">
        <v>17</v>
      </c>
      <c r="C9" s="111">
        <v>7.1660456857268609E-3</v>
      </c>
      <c r="D9" s="111">
        <v>0.10188751315535756</v>
      </c>
      <c r="E9" s="111">
        <v>-6.9575099602527224E-2</v>
      </c>
      <c r="F9" s="111">
        <v>0.14282050427042625</v>
      </c>
      <c r="G9" s="111">
        <v>0.13185033314443156</v>
      </c>
      <c r="H9" s="111">
        <v>0.29490746847653732</v>
      </c>
      <c r="I9" s="111">
        <v>0.29791046773320046</v>
      </c>
      <c r="J9" s="111">
        <v>0.13258161537009736</v>
      </c>
      <c r="K9" s="111">
        <v>0.13625807632264245</v>
      </c>
      <c r="L9" s="111">
        <v>0.13401880714064404</v>
      </c>
      <c r="M9" s="111">
        <v>-7.1528390306488165E-2</v>
      </c>
      <c r="N9" s="116"/>
    </row>
    <row r="10" spans="1:14" ht="15" customHeight="1">
      <c r="A10" s="112" t="s">
        <v>18</v>
      </c>
      <c r="C10" s="111">
        <v>-0.26794512570750229</v>
      </c>
      <c r="D10" s="111">
        <v>-0.22550208288997009</v>
      </c>
      <c r="E10" s="111">
        <v>-0.42173779951359547</v>
      </c>
      <c r="F10" s="111">
        <v>-0.63559747824527901</v>
      </c>
      <c r="G10" s="111">
        <v>-1.2745782927075722</v>
      </c>
      <c r="H10" s="111">
        <v>-0.68591823624996284</v>
      </c>
      <c r="I10" s="111">
        <v>-0.36251498603208443</v>
      </c>
      <c r="J10" s="111">
        <v>-0.82121060906389132</v>
      </c>
      <c r="K10" s="111">
        <v>-0.86397843334615443</v>
      </c>
      <c r="L10" s="111">
        <v>-0.53967735013424301</v>
      </c>
      <c r="M10" s="111">
        <v>-0.65672631971513673</v>
      </c>
      <c r="N10" s="116"/>
    </row>
    <row r="11" spans="1:14" ht="15" customHeight="1">
      <c r="A11" s="112" t="s">
        <v>19</v>
      </c>
      <c r="C11" s="111">
        <v>7.8486413681774794E-2</v>
      </c>
      <c r="D11" s="111">
        <v>0.1820793529978659</v>
      </c>
      <c r="E11" s="111">
        <v>0.18188555080766683</v>
      </c>
      <c r="F11" s="111">
        <v>7.009260707586072E-3</v>
      </c>
      <c r="G11" s="111">
        <v>0.1541633032055835</v>
      </c>
      <c r="H11" s="111">
        <v>-0.14752211888087499</v>
      </c>
      <c r="I11" s="111">
        <v>0.1553611174985666</v>
      </c>
      <c r="J11" s="111">
        <v>0.27888720163449027</v>
      </c>
      <c r="K11" s="111">
        <v>5.2159097721201142E-2</v>
      </c>
      <c r="L11" s="111">
        <v>-1.7504259732702112E-2</v>
      </c>
      <c r="M11" s="111">
        <v>-4.405660071829149E-2</v>
      </c>
      <c r="N11" s="116"/>
    </row>
    <row r="12" spans="1:14" ht="15" customHeight="1">
      <c r="A12" s="112" t="s">
        <v>20</v>
      </c>
      <c r="C12" s="111">
        <v>7.1485250470571887E-2</v>
      </c>
      <c r="D12" s="111">
        <v>5.9674974359225516E-2</v>
      </c>
      <c r="E12" s="111">
        <v>1.9018073593975191E-3</v>
      </c>
      <c r="F12" s="111">
        <v>-5.4213112761361135E-2</v>
      </c>
      <c r="G12" s="111">
        <v>-1.9681440086939509E-2</v>
      </c>
      <c r="H12" s="111">
        <v>7.1266102768688042E-2</v>
      </c>
      <c r="I12" s="111">
        <v>0.12497067340307741</v>
      </c>
      <c r="J12" s="111">
        <v>4.0584619680502393E-2</v>
      </c>
      <c r="K12" s="111">
        <v>-2.7147309006459695E-2</v>
      </c>
      <c r="L12" s="111">
        <v>-8.7347444026556822E-2</v>
      </c>
      <c r="M12" s="111">
        <v>-0.63606668560265722</v>
      </c>
      <c r="N12" s="116"/>
    </row>
    <row r="13" spans="1:14" ht="15" customHeight="1">
      <c r="A13" s="112" t="s">
        <v>21</v>
      </c>
      <c r="C13" s="111">
        <v>-3.962774568131508E-2</v>
      </c>
      <c r="D13" s="111">
        <v>-0.27847094758789709</v>
      </c>
      <c r="E13" s="111">
        <v>2.088774700526987E-2</v>
      </c>
      <c r="F13" s="111">
        <v>-7.0140996793746677E-2</v>
      </c>
      <c r="G13" s="111">
        <v>-0.61193145428147455</v>
      </c>
      <c r="H13" s="111">
        <v>1.4773571416015975E-3</v>
      </c>
      <c r="I13" s="111">
        <v>9.9438691150987215E-3</v>
      </c>
      <c r="J13" s="111">
        <v>1.1357765779860349E-2</v>
      </c>
      <c r="K13" s="111">
        <v>8.3702943873873656E-2</v>
      </c>
      <c r="L13" s="111">
        <v>-0.70704597100103361</v>
      </c>
      <c r="M13" s="111">
        <v>-0.19401018195557487</v>
      </c>
      <c r="N13" s="116"/>
    </row>
    <row r="14" spans="1:14" ht="15" customHeight="1">
      <c r="A14" s="112" t="s">
        <v>22</v>
      </c>
      <c r="C14" s="111">
        <v>8.0404272551996614E-2</v>
      </c>
      <c r="D14" s="111">
        <v>0.11076019998214445</v>
      </c>
      <c r="E14" s="111">
        <v>0.10208902822274289</v>
      </c>
      <c r="F14" s="111">
        <v>8.7174996638242769E-2</v>
      </c>
      <c r="G14" s="111">
        <v>7.9370807358597945E-2</v>
      </c>
      <c r="H14" s="111">
        <v>9.9647042843346897E-2</v>
      </c>
      <c r="I14" s="111">
        <v>0.13345615537609198</v>
      </c>
      <c r="J14" s="111">
        <v>0.12446073551150934</v>
      </c>
      <c r="K14" s="111">
        <v>7.8914077869029972E-3</v>
      </c>
      <c r="L14" s="111">
        <v>0.12113356260791344</v>
      </c>
      <c r="M14" s="111">
        <v>8.846233266545293E-3</v>
      </c>
      <c r="N14" s="116"/>
    </row>
    <row r="15" spans="1:14" ht="15" customHeight="1">
      <c r="A15" s="112" t="s">
        <v>23</v>
      </c>
      <c r="C15" s="111">
        <v>2.1341899198966823E-2</v>
      </c>
      <c r="D15" s="111">
        <v>0.16081176127828234</v>
      </c>
      <c r="E15" s="111">
        <v>0.13092194520379277</v>
      </c>
      <c r="F15" s="111">
        <v>6.4095753462585642E-2</v>
      </c>
      <c r="G15" s="111">
        <v>0.11035863010022193</v>
      </c>
      <c r="H15" s="111">
        <v>7.0190264353798673E-2</v>
      </c>
      <c r="I15" s="111">
        <v>0.1539757484366891</v>
      </c>
      <c r="J15" s="111">
        <v>0.15312084038838708</v>
      </c>
      <c r="K15" s="111">
        <v>8.4314341514724139E-2</v>
      </c>
      <c r="L15" s="111">
        <v>-1.8827895019864746E-2</v>
      </c>
      <c r="M15" s="111">
        <v>-0.17004989201975543</v>
      </c>
      <c r="N15" s="116"/>
    </row>
    <row r="16" spans="1:14" ht="15" customHeight="1">
      <c r="A16" s="112" t="s">
        <v>24</v>
      </c>
      <c r="C16" s="111">
        <v>9.8633283777839809E-2</v>
      </c>
      <c r="D16" s="111">
        <v>7.5403151164106619E-2</v>
      </c>
      <c r="E16" s="111">
        <v>5.578028441314959E-2</v>
      </c>
      <c r="F16" s="111">
        <v>8.0566908033977716E-2</v>
      </c>
      <c r="G16" s="111">
        <v>0.12615648160488019</v>
      </c>
      <c r="H16" s="111">
        <v>0.13507019426994837</v>
      </c>
      <c r="I16" s="111">
        <v>0.17897963183379237</v>
      </c>
      <c r="J16" s="111">
        <v>0.16673423532159964</v>
      </c>
      <c r="K16" s="111">
        <v>0.16513320675501822</v>
      </c>
      <c r="L16" s="111">
        <v>0.17959823105047229</v>
      </c>
      <c r="M16" s="111">
        <v>0.12410479834396602</v>
      </c>
      <c r="N16" s="116"/>
    </row>
    <row r="17" spans="1:14" ht="15" customHeight="1">
      <c r="A17" s="112" t="s">
        <v>25</v>
      </c>
      <c r="C17" s="111">
        <v>0.10718445182245373</v>
      </c>
      <c r="D17" s="111">
        <v>0.10183842783564176</v>
      </c>
      <c r="E17" s="111">
        <v>0.10127750468063418</v>
      </c>
      <c r="F17" s="111">
        <v>0.18824679168030303</v>
      </c>
      <c r="G17" s="111">
        <v>0.20996866273772422</v>
      </c>
      <c r="H17" s="111">
        <v>8.8808199622942258E-2</v>
      </c>
      <c r="I17" s="111">
        <v>0.21987296157843433</v>
      </c>
      <c r="J17" s="111">
        <v>0.17044326790774722</v>
      </c>
      <c r="K17" s="111">
        <v>0.13944278268838425</v>
      </c>
      <c r="L17" s="111">
        <v>0.12537482576696718</v>
      </c>
      <c r="M17" s="111">
        <v>8.9750437684383622E-2</v>
      </c>
      <c r="N17" s="116"/>
    </row>
    <row r="18" spans="1:14" ht="15" customHeight="1">
      <c r="A18" s="112" t="s">
        <v>26</v>
      </c>
      <c r="C18" s="111">
        <v>0.20116567818722977</v>
      </c>
      <c r="D18" s="111">
        <v>0.22733324201514976</v>
      </c>
      <c r="E18" s="111">
        <v>0.18544678154522226</v>
      </c>
      <c r="F18" s="111">
        <v>0.17539431403248212</v>
      </c>
      <c r="G18" s="111">
        <v>0.23861351562234437</v>
      </c>
      <c r="H18" s="111">
        <v>0.21771243758745015</v>
      </c>
      <c r="I18" s="111">
        <v>0.22082329215958993</v>
      </c>
      <c r="J18" s="111">
        <v>0.2573280756399064</v>
      </c>
      <c r="K18" s="111">
        <v>0.2653012071159398</v>
      </c>
      <c r="L18" s="111">
        <v>0.12044693666895176</v>
      </c>
      <c r="M18" s="111">
        <v>0.1431333543880107</v>
      </c>
      <c r="N18" s="116"/>
    </row>
    <row r="19" spans="1:14" ht="15" customHeight="1">
      <c r="A19" s="112" t="s">
        <v>27</v>
      </c>
      <c r="C19" s="111">
        <v>0.14226287353556519</v>
      </c>
      <c r="D19" s="111">
        <v>0.13138308790872077</v>
      </c>
      <c r="E19" s="111">
        <v>8.9626819776071356E-2</v>
      </c>
      <c r="F19" s="111">
        <v>0.15468068379325445</v>
      </c>
      <c r="G19" s="111">
        <v>0.15859606126715856</v>
      </c>
      <c r="H19" s="111">
        <v>0.12351926012476566</v>
      </c>
      <c r="I19" s="111">
        <v>0.1783285601608007</v>
      </c>
      <c r="J19" s="111">
        <v>0.27216756748171828</v>
      </c>
      <c r="K19" s="111">
        <v>0.15691904612429824</v>
      </c>
      <c r="L19" s="111">
        <v>0.22325960685274074</v>
      </c>
      <c r="M19" s="111">
        <v>0.13925943335149446</v>
      </c>
      <c r="N19" s="116"/>
    </row>
    <row r="20" spans="1:14" ht="15" customHeight="1">
      <c r="A20" s="112" t="s">
        <v>28</v>
      </c>
      <c r="C20" s="111">
        <v>0.17422745548496132</v>
      </c>
      <c r="D20" s="111">
        <v>0.21532824237033926</v>
      </c>
      <c r="E20" s="111">
        <v>0.17113848668502965</v>
      </c>
      <c r="F20" s="111">
        <v>0.1502232474338864</v>
      </c>
      <c r="G20" s="111">
        <v>0.13907358727504027</v>
      </c>
      <c r="H20" s="111">
        <v>0.16007288438920358</v>
      </c>
      <c r="I20" s="111">
        <v>0.16433504711286534</v>
      </c>
      <c r="J20" s="111">
        <v>0.29292813873033396</v>
      </c>
      <c r="K20" s="111">
        <v>0.14123229871403772</v>
      </c>
      <c r="L20" s="111">
        <v>0.14096867852601608</v>
      </c>
      <c r="M20" s="111">
        <v>0.15249996871804264</v>
      </c>
      <c r="N20" s="116"/>
    </row>
    <row r="21" spans="1:14" ht="15" customHeight="1">
      <c r="A21" s="112" t="s">
        <v>29</v>
      </c>
      <c r="C21" s="111">
        <v>0.22895021811956234</v>
      </c>
      <c r="D21" s="111">
        <v>0.13556754796024176</v>
      </c>
      <c r="E21" s="111">
        <v>0.32325855106994561</v>
      </c>
      <c r="F21" s="111">
        <v>0.21977103434796202</v>
      </c>
      <c r="G21" s="111">
        <v>0.28337958561791876</v>
      </c>
      <c r="H21" s="111">
        <v>0.34053640798261109</v>
      </c>
      <c r="I21" s="111">
        <v>0.32866189523365369</v>
      </c>
      <c r="J21" s="111">
        <v>0.35023210846017305</v>
      </c>
      <c r="K21" s="111">
        <v>0.35885612540003697</v>
      </c>
      <c r="L21" s="111">
        <v>0.35214087326612281</v>
      </c>
      <c r="M21" s="111">
        <v>0.32884694482342686</v>
      </c>
      <c r="N21" s="116"/>
    </row>
    <row r="22" spans="1:14" ht="15" customHeight="1">
      <c r="A22" s="112" t="s">
        <v>30</v>
      </c>
      <c r="C22" s="111">
        <v>0.12483594982189783</v>
      </c>
      <c r="D22" s="111">
        <v>8.7381805628384171E-2</v>
      </c>
      <c r="E22" s="111">
        <v>0.19206209450448167</v>
      </c>
      <c r="F22" s="111">
        <v>0.17150545786284113</v>
      </c>
      <c r="G22" s="111">
        <v>0.20307304959853051</v>
      </c>
      <c r="H22" s="111">
        <v>0.22182882122319877</v>
      </c>
      <c r="I22" s="111">
        <v>0.23102409372509067</v>
      </c>
      <c r="J22" s="111">
        <v>0.25921905392274652</v>
      </c>
      <c r="K22" s="111">
        <v>0.2257182546479668</v>
      </c>
      <c r="L22" s="111">
        <v>0.22966234999020707</v>
      </c>
      <c r="M22" s="111">
        <v>0.19185267177640586</v>
      </c>
      <c r="N22" s="116"/>
    </row>
    <row r="23" spans="1:14" ht="15" customHeight="1">
      <c r="A23" s="112" t="s">
        <v>31</v>
      </c>
      <c r="C23" s="111">
        <v>0.12862079551146532</v>
      </c>
      <c r="D23" s="111">
        <v>0.11157148064339491</v>
      </c>
      <c r="E23" s="111">
        <v>3.7977104112935908E-2</v>
      </c>
      <c r="F23" s="111">
        <v>1.7194677214037796E-2</v>
      </c>
      <c r="G23" s="111">
        <v>7.7737384392951206E-2</v>
      </c>
      <c r="H23" s="111">
        <v>7.5342511056819619E-2</v>
      </c>
      <c r="I23" s="111">
        <v>0.16496568822661187</v>
      </c>
      <c r="J23" s="111">
        <v>0.16434571578936166</v>
      </c>
      <c r="K23" s="111">
        <v>0.11230117972809432</v>
      </c>
      <c r="L23" s="111">
        <v>8.4321417845794472E-2</v>
      </c>
      <c r="M23" s="111">
        <v>6.9729099997720784E-2</v>
      </c>
      <c r="N23" s="116"/>
    </row>
    <row r="24" spans="1:14" ht="15" customHeight="1">
      <c r="A24" s="112" t="s">
        <v>32</v>
      </c>
      <c r="C24" s="111">
        <v>3.9180766544153055E-2</v>
      </c>
      <c r="D24" s="111">
        <v>3.8632635852550161E-2</v>
      </c>
      <c r="E24" s="111">
        <v>0.1376733659798926</v>
      </c>
      <c r="F24" s="111">
        <v>6.367122562995868E-2</v>
      </c>
      <c r="G24" s="111">
        <v>5.2728805297889147E-2</v>
      </c>
      <c r="H24" s="111">
        <v>0.13713406416822294</v>
      </c>
      <c r="I24" s="111">
        <v>0.24069616313670608</v>
      </c>
      <c r="J24" s="111">
        <v>0.23084254721534483</v>
      </c>
      <c r="K24" s="111">
        <v>0.15307464729191611</v>
      </c>
      <c r="L24" s="111">
        <v>0.23559334393895251</v>
      </c>
      <c r="M24" s="111">
        <v>0.21920854054767228</v>
      </c>
      <c r="N24" s="116"/>
    </row>
    <row r="25" spans="1:14" ht="15" customHeight="1">
      <c r="A25" s="112" t="s">
        <v>35</v>
      </c>
      <c r="C25" s="111">
        <v>0.19676368069379088</v>
      </c>
      <c r="D25" s="111">
        <v>0.19674953356380318</v>
      </c>
      <c r="E25" s="111">
        <v>0.19303286338946737</v>
      </c>
      <c r="F25" s="111">
        <v>0.22754066180428972</v>
      </c>
      <c r="G25" s="111">
        <v>0.21116618371553333</v>
      </c>
      <c r="H25" s="111">
        <v>0.19463067369613002</v>
      </c>
      <c r="I25" s="111">
        <v>0.29309236784179493</v>
      </c>
      <c r="J25" s="111">
        <v>0.30960729527432662</v>
      </c>
      <c r="K25" s="111">
        <v>0.19579202793116984</v>
      </c>
      <c r="L25" s="111">
        <v>0.17546781797190686</v>
      </c>
      <c r="M25" s="111">
        <v>0.11048082565718351</v>
      </c>
      <c r="N25" s="116"/>
    </row>
    <row r="26" spans="1:14" ht="15" customHeight="1">
      <c r="A26" s="112" t="s">
        <v>36</v>
      </c>
      <c r="C26" s="111">
        <v>0.28320571800235578</v>
      </c>
      <c r="D26" s="111">
        <v>0.31641098446450361</v>
      </c>
      <c r="E26" s="111">
        <v>0.33870702039070882</v>
      </c>
      <c r="F26" s="111">
        <v>0.30340755595167823</v>
      </c>
      <c r="G26" s="111">
        <v>0.34479938002397276</v>
      </c>
      <c r="H26" s="111">
        <v>0.25675140920573347</v>
      </c>
      <c r="I26" s="111">
        <v>0.3034865014603183</v>
      </c>
      <c r="J26" s="111">
        <v>0.35900252820195849</v>
      </c>
      <c r="K26" s="111">
        <v>0.2968551566041015</v>
      </c>
      <c r="L26" s="111">
        <v>0.36251094301396392</v>
      </c>
      <c r="M26" s="111">
        <v>0.35444996604151524</v>
      </c>
      <c r="N26" s="116"/>
    </row>
    <row r="27" spans="1:14" ht="15" customHeight="1">
      <c r="A27" s="112" t="s">
        <v>37</v>
      </c>
      <c r="C27" s="111">
        <v>0.25707115443177481</v>
      </c>
      <c r="D27" s="111">
        <v>0.24617760657860357</v>
      </c>
      <c r="E27" s="111">
        <v>0.18696067205529265</v>
      </c>
      <c r="F27" s="111">
        <v>0.22009039629392665</v>
      </c>
      <c r="G27" s="111">
        <v>0.1970339434411553</v>
      </c>
      <c r="H27" s="111">
        <v>0.19787391557593434</v>
      </c>
      <c r="I27" s="111">
        <v>0.31104707428813794</v>
      </c>
      <c r="J27" s="111">
        <v>0.2685500324072152</v>
      </c>
      <c r="K27" s="111">
        <v>0.27041352483830411</v>
      </c>
      <c r="L27" s="111">
        <v>0.2387947510775752</v>
      </c>
      <c r="M27" s="111">
        <v>0.25656781286041219</v>
      </c>
      <c r="N27" s="116"/>
    </row>
    <row r="28" spans="1:14" ht="15" customHeight="1">
      <c r="A28" s="112" t="s">
        <v>38</v>
      </c>
      <c r="C28" s="111">
        <v>0.2137729028661742</v>
      </c>
      <c r="D28" s="111">
        <v>6.7716115004409341E-2</v>
      </c>
      <c r="E28" s="111">
        <v>0.18149664397773865</v>
      </c>
      <c r="F28" s="111">
        <v>0.28566434036330507</v>
      </c>
      <c r="G28" s="111">
        <v>0.28364926035525556</v>
      </c>
      <c r="H28" s="111">
        <v>0.32829830775890112</v>
      </c>
      <c r="I28" s="111">
        <v>0.36737419499106422</v>
      </c>
      <c r="J28" s="111">
        <v>0.30739782419134787</v>
      </c>
      <c r="K28" s="111">
        <v>0.25986090274759316</v>
      </c>
      <c r="L28" s="111">
        <v>0.29540365087220738</v>
      </c>
      <c r="M28" s="111">
        <v>0.29985397009449072</v>
      </c>
      <c r="N28" s="116"/>
    </row>
    <row r="29" spans="1:14" ht="15" customHeight="1">
      <c r="A29" s="112" t="s">
        <v>39</v>
      </c>
      <c r="C29" s="111">
        <v>0.1006682931348043</v>
      </c>
      <c r="D29" s="111">
        <v>0.21690811614966191</v>
      </c>
      <c r="E29" s="111">
        <v>0.21578383320839228</v>
      </c>
      <c r="F29" s="111">
        <v>0.12736269774390047</v>
      </c>
      <c r="G29" s="111">
        <v>0.19180590298218195</v>
      </c>
      <c r="H29" s="111">
        <v>0.15456238242477516</v>
      </c>
      <c r="I29" s="111">
        <v>0.17187918767436941</v>
      </c>
      <c r="J29" s="111">
        <v>0.13805286066220832</v>
      </c>
      <c r="K29" s="111">
        <v>4.7920525557648155E-2</v>
      </c>
      <c r="L29" s="111">
        <v>0.12505770721838838</v>
      </c>
      <c r="M29" s="111">
        <v>-6.8382150535370098E-4</v>
      </c>
      <c r="N29" s="116"/>
    </row>
    <row r="30" spans="1:14" ht="15" customHeight="1">
      <c r="A30" s="112" t="s">
        <v>40</v>
      </c>
      <c r="C30" s="111">
        <v>0.15755990331966332</v>
      </c>
      <c r="D30" s="111">
        <v>0.17608980960702883</v>
      </c>
      <c r="E30" s="111">
        <v>0.2163111989828034</v>
      </c>
      <c r="F30" s="111">
        <v>0.15586921710802662</v>
      </c>
      <c r="G30" s="111">
        <v>0.1699690727219928</v>
      </c>
      <c r="H30" s="111">
        <v>0.19832370697522289</v>
      </c>
      <c r="I30" s="111">
        <v>0.20275656820976312</v>
      </c>
      <c r="J30" s="111">
        <v>0.17441995442770544</v>
      </c>
      <c r="K30" s="111">
        <v>0.14288439026727082</v>
      </c>
      <c r="L30" s="111">
        <v>0.13125415493393158</v>
      </c>
      <c r="M30" s="111">
        <v>-4.6648388779353123E-3</v>
      </c>
      <c r="N30" s="116"/>
    </row>
    <row r="31" spans="1:14" ht="15" customHeight="1">
      <c r="A31" s="112" t="s">
        <v>33</v>
      </c>
      <c r="C31" s="111">
        <v>0.25308968342604327</v>
      </c>
      <c r="D31" s="111">
        <v>0.24028375374888286</v>
      </c>
      <c r="E31" s="111">
        <v>0.21936866817929643</v>
      </c>
      <c r="F31" s="111">
        <v>0.17713758696462245</v>
      </c>
      <c r="G31" s="111">
        <v>0.15671503473824044</v>
      </c>
      <c r="H31" s="111">
        <v>0.18961723821095205</v>
      </c>
      <c r="I31" s="111">
        <v>0.13066183528491135</v>
      </c>
      <c r="J31" s="111">
        <v>0.19397593981438221</v>
      </c>
      <c r="K31" s="111">
        <v>3.0474560718277421E-2</v>
      </c>
      <c r="L31" s="111">
        <v>0.15194486009780736</v>
      </c>
      <c r="M31" s="111">
        <v>8.9063673086077669E-2</v>
      </c>
      <c r="N31" s="116"/>
    </row>
    <row r="32" spans="1:14" ht="15" customHeight="1" thickBot="1">
      <c r="A32" s="113" t="s">
        <v>34</v>
      </c>
      <c r="B32" s="118"/>
      <c r="C32" s="115">
        <v>0.16975338435689233</v>
      </c>
      <c r="D32" s="115">
        <v>0.12203760055034432</v>
      </c>
      <c r="E32" s="115">
        <v>0.22365265614119131</v>
      </c>
      <c r="F32" s="115">
        <v>0.16017325088462953</v>
      </c>
      <c r="G32" s="115">
        <v>0.18859621000992538</v>
      </c>
      <c r="H32" s="115">
        <v>0.21219056066799485</v>
      </c>
      <c r="I32" s="115">
        <v>0.18007005333109549</v>
      </c>
      <c r="J32" s="115">
        <v>0.12005274286713787</v>
      </c>
      <c r="K32" s="115">
        <v>0.17034232515856834</v>
      </c>
      <c r="L32" s="115">
        <v>0.14972823483288195</v>
      </c>
      <c r="M32" s="115">
        <v>9.4481142484556413E-2</v>
      </c>
      <c r="N32" s="119"/>
    </row>
    <row r="33" spans="1:1" ht="15" customHeight="1">
      <c r="A33" s="45" t="s">
        <v>646</v>
      </c>
    </row>
  </sheetData>
  <mergeCells count="1">
    <mergeCell ref="L1:M1"/>
  </mergeCells>
  <hyperlinks>
    <hyperlink ref="L1:M1" location="Home_page" display="Back to_x000a_home page" xr:uid="{0B51A974-3A20-4D9E-83EA-46802F9695EB}"/>
  </hyperlinks>
  <pageMargins left="0.70866141732283472" right="0.70866141732283472" top="0.74803149606299213" bottom="0.74803149606299213" header="0.31496062992125984" footer="0.31496062992125984"/>
  <pageSetup paperSize="9" scale="96" orientation="landscape"/>
  <extLst>
    <ext xmlns:x14="http://schemas.microsoft.com/office/spreadsheetml/2009/9/main" uri="{05C60535-1F16-4fd2-B633-F4F36F0B64E0}">
      <x14:sparklineGroups xmlns:xm="http://schemas.microsoft.com/office/excel/2006/main">
        <x14:sparklineGroup manualMax="0" manualMin="0" displayEmptyCellsAs="gap" high="1" low="1" xr2:uid="{809FEBB3-C3F0-42C6-8590-D605732A8DA6}">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'Operating profit margin'!C3:M3</xm:f>
              <xm:sqref>B3</xm:sqref>
            </x14:sparkline>
            <x14:sparkline>
              <xm:f>'Operating profit margin'!C4:M4</xm:f>
              <xm:sqref>B4</xm:sqref>
            </x14:sparkline>
            <x14:sparkline>
              <xm:f>'Operating profit margin'!C5:M5</xm:f>
              <xm:sqref>B5</xm:sqref>
            </x14:sparkline>
            <x14:sparkline>
              <xm:f>'Operating profit margin'!C6:M6</xm:f>
              <xm:sqref>B6</xm:sqref>
            </x14:sparkline>
            <x14:sparkline>
              <xm:f>'Operating profit margin'!C7:M7</xm:f>
              <xm:sqref>B7</xm:sqref>
            </x14:sparkline>
            <x14:sparkline>
              <xm:f>'Operating profit margin'!C8:M8</xm:f>
              <xm:sqref>B8</xm:sqref>
            </x14:sparkline>
            <x14:sparkline>
              <xm:f>'Operating profit margin'!C9:M9</xm:f>
              <xm:sqref>B9</xm:sqref>
            </x14:sparkline>
            <x14:sparkline>
              <xm:f>'Operating profit margin'!C10:M10</xm:f>
              <xm:sqref>B10</xm:sqref>
            </x14:sparkline>
            <x14:sparkline>
              <xm:f>'Operating profit margin'!C11:M11</xm:f>
              <xm:sqref>B11</xm:sqref>
            </x14:sparkline>
            <x14:sparkline>
              <xm:f>'Operating profit margin'!C12:M12</xm:f>
              <xm:sqref>B12</xm:sqref>
            </x14:sparkline>
            <x14:sparkline>
              <xm:f>'Operating profit margin'!C13:M13</xm:f>
              <xm:sqref>B13</xm:sqref>
            </x14:sparkline>
            <x14:sparkline>
              <xm:f>'Operating profit margin'!C14:M14</xm:f>
              <xm:sqref>B14</xm:sqref>
            </x14:sparkline>
            <x14:sparkline>
              <xm:f>'Operating profit margin'!C15:M15</xm:f>
              <xm:sqref>B15</xm:sqref>
            </x14:sparkline>
            <x14:sparkline>
              <xm:f>'Operating profit margin'!C16:M16</xm:f>
              <xm:sqref>B16</xm:sqref>
            </x14:sparkline>
            <x14:sparkline>
              <xm:f>'Operating profit margin'!C17:M17</xm:f>
              <xm:sqref>B17</xm:sqref>
            </x14:sparkline>
            <x14:sparkline>
              <xm:f>'Operating profit margin'!C18:M18</xm:f>
              <xm:sqref>B18</xm:sqref>
            </x14:sparkline>
            <x14:sparkline>
              <xm:f>'Operating profit margin'!C19:M19</xm:f>
              <xm:sqref>B19</xm:sqref>
            </x14:sparkline>
            <x14:sparkline>
              <xm:f>'Operating profit margin'!C20:M20</xm:f>
              <xm:sqref>B20</xm:sqref>
            </x14:sparkline>
            <x14:sparkline>
              <xm:f>'Operating profit margin'!C21:M21</xm:f>
              <xm:sqref>B21</xm:sqref>
            </x14:sparkline>
            <x14:sparkline>
              <xm:f>'Operating profit margin'!C22:M22</xm:f>
              <xm:sqref>B22</xm:sqref>
            </x14:sparkline>
            <x14:sparkline>
              <xm:f>'Operating profit margin'!C23:M23</xm:f>
              <xm:sqref>B23</xm:sqref>
            </x14:sparkline>
            <x14:sparkline>
              <xm:f>'Operating profit margin'!C24:M24</xm:f>
              <xm:sqref>B24</xm:sqref>
            </x14:sparkline>
            <x14:sparkline>
              <xm:f>'Operating profit margin'!C25:M25</xm:f>
              <xm:sqref>B25</xm:sqref>
            </x14:sparkline>
            <x14:sparkline>
              <xm:f>'Operating profit margin'!C26:M26</xm:f>
              <xm:sqref>B26</xm:sqref>
            </x14:sparkline>
            <x14:sparkline>
              <xm:f>'Operating profit margin'!C27:M27</xm:f>
              <xm:sqref>B27</xm:sqref>
            </x14:sparkline>
            <x14:sparkline>
              <xm:f>'Operating profit margin'!C28:M28</xm:f>
              <xm:sqref>B28</xm:sqref>
            </x14:sparkline>
            <x14:sparkline>
              <xm:f>'Operating profit margin'!C29:M29</xm:f>
              <xm:sqref>B29</xm:sqref>
            </x14:sparkline>
            <x14:sparkline>
              <xm:f>'Operating profit margin'!C30:M30</xm:f>
              <xm:sqref>B30</xm:sqref>
            </x14:sparkline>
            <x14:sparkline>
              <xm:f>'Operating profit margin'!C31:M31</xm:f>
              <xm:sqref>B31</xm:sqref>
            </x14:sparkline>
            <x14:sparkline>
              <xm:f>'Operating profit margin'!C32:M32</xm:f>
              <xm:sqref>B32</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C2580-1A7F-410B-8F89-1B43225BC49B}">
  <sheetPr codeName="Feuil42">
    <pageSetUpPr fitToPage="1"/>
  </sheetPr>
  <dimension ref="A1:I34"/>
  <sheetViews>
    <sheetView workbookViewId="0"/>
  </sheetViews>
  <sheetFormatPr defaultColWidth="8.75" defaultRowHeight="12.75"/>
  <cols>
    <col min="1" max="1" width="4.75" style="127" customWidth="1"/>
    <col min="2" max="2" width="46.25" style="127" customWidth="1"/>
    <col min="3" max="3" width="9.25" style="147" customWidth="1"/>
    <col min="4" max="4" width="20.75" style="147" customWidth="1"/>
    <col min="5" max="5" width="12.75" style="147" customWidth="1"/>
    <col min="6" max="7" width="9.75" style="147" customWidth="1"/>
    <col min="8" max="8" width="9.75" style="148" customWidth="1"/>
    <col min="9" max="9" width="9.75" style="147" customWidth="1"/>
    <col min="10" max="11" width="8.75" style="127"/>
    <col min="12" max="12" width="55.75" style="127" bestFit="1" customWidth="1"/>
    <col min="13" max="16384" width="8.75" style="127"/>
  </cols>
  <sheetData>
    <row r="1" spans="1:9" ht="28.5" customHeight="1" thickBot="1">
      <c r="A1" s="126"/>
      <c r="B1" s="162" t="s">
        <v>76</v>
      </c>
      <c r="C1" s="162"/>
      <c r="D1" s="162"/>
      <c r="E1" s="162"/>
      <c r="F1" s="162"/>
      <c r="G1" s="162"/>
      <c r="H1" s="162"/>
      <c r="I1" s="149" t="s">
        <v>42</v>
      </c>
    </row>
    <row r="2" spans="1:9" ht="26.25" thickBot="1">
      <c r="A2" s="163" t="s">
        <v>77</v>
      </c>
      <c r="B2" s="164"/>
      <c r="C2" s="128" t="s">
        <v>78</v>
      </c>
      <c r="D2" s="128" t="s">
        <v>79</v>
      </c>
      <c r="E2" s="128" t="s">
        <v>80</v>
      </c>
      <c r="F2" s="128" t="s">
        <v>81</v>
      </c>
      <c r="G2" s="128" t="s">
        <v>82</v>
      </c>
      <c r="H2" s="128" t="s">
        <v>83</v>
      </c>
      <c r="I2" s="129" t="s">
        <v>84</v>
      </c>
    </row>
    <row r="3" spans="1:9">
      <c r="A3" s="130">
        <v>1</v>
      </c>
      <c r="B3" s="131" t="s">
        <v>85</v>
      </c>
      <c r="C3" s="132" t="s">
        <v>86</v>
      </c>
      <c r="D3" s="132" t="s">
        <v>87</v>
      </c>
      <c r="E3" s="133"/>
      <c r="F3" s="133"/>
      <c r="G3" s="133"/>
      <c r="H3" s="132" t="s">
        <v>88</v>
      </c>
      <c r="I3" s="134"/>
    </row>
    <row r="4" spans="1:9">
      <c r="A4" s="130">
        <v>2</v>
      </c>
      <c r="B4" s="135" t="s">
        <v>11</v>
      </c>
      <c r="C4" s="136" t="s">
        <v>86</v>
      </c>
      <c r="D4" s="136" t="s">
        <v>87</v>
      </c>
      <c r="E4" s="137" t="s">
        <v>89</v>
      </c>
      <c r="F4" s="137"/>
      <c r="G4" s="137" t="s">
        <v>90</v>
      </c>
      <c r="H4" s="136" t="s">
        <v>88</v>
      </c>
      <c r="I4" s="138"/>
    </row>
    <row r="5" spans="1:9">
      <c r="A5" s="130">
        <v>3</v>
      </c>
      <c r="B5" s="135" t="s">
        <v>12</v>
      </c>
      <c r="C5" s="136" t="s">
        <v>86</v>
      </c>
      <c r="D5" s="136" t="s">
        <v>87</v>
      </c>
      <c r="E5" s="137" t="s">
        <v>89</v>
      </c>
      <c r="F5" s="137"/>
      <c r="G5" s="137" t="s">
        <v>91</v>
      </c>
      <c r="H5" s="136" t="s">
        <v>88</v>
      </c>
      <c r="I5" s="138"/>
    </row>
    <row r="6" spans="1:9" ht="25.5">
      <c r="A6" s="130">
        <v>4</v>
      </c>
      <c r="B6" s="135" t="s">
        <v>92</v>
      </c>
      <c r="C6" s="136" t="s">
        <v>93</v>
      </c>
      <c r="D6" s="136" t="s">
        <v>87</v>
      </c>
      <c r="E6" s="137" t="s">
        <v>94</v>
      </c>
      <c r="F6" s="137"/>
      <c r="G6" s="137"/>
      <c r="H6" s="136" t="s">
        <v>95</v>
      </c>
      <c r="I6" s="138"/>
    </row>
    <row r="7" spans="1:9" ht="25.5">
      <c r="A7" s="130">
        <v>5</v>
      </c>
      <c r="B7" s="135" t="s">
        <v>96</v>
      </c>
      <c r="C7" s="136" t="s">
        <v>93</v>
      </c>
      <c r="D7" s="136" t="s">
        <v>87</v>
      </c>
      <c r="E7" s="137" t="s">
        <v>94</v>
      </c>
      <c r="F7" s="137"/>
      <c r="G7" s="137"/>
      <c r="H7" s="136" t="s">
        <v>97</v>
      </c>
      <c r="I7" s="138"/>
    </row>
    <row r="8" spans="1:9">
      <c r="A8" s="130">
        <v>6</v>
      </c>
      <c r="B8" s="135" t="s">
        <v>98</v>
      </c>
      <c r="C8" s="136"/>
      <c r="D8" s="136" t="s">
        <v>99</v>
      </c>
      <c r="E8" s="137" t="s">
        <v>94</v>
      </c>
      <c r="F8" s="137"/>
      <c r="G8" s="137"/>
      <c r="H8" s="136" t="s">
        <v>88</v>
      </c>
      <c r="I8" s="138"/>
    </row>
    <row r="9" spans="1:9">
      <c r="A9" s="130">
        <v>7</v>
      </c>
      <c r="B9" s="135" t="s">
        <v>100</v>
      </c>
      <c r="C9" s="136"/>
      <c r="D9" s="136" t="s">
        <v>101</v>
      </c>
      <c r="E9" s="137" t="s">
        <v>94</v>
      </c>
      <c r="F9" s="137"/>
      <c r="G9" s="137"/>
      <c r="H9" s="136" t="s">
        <v>88</v>
      </c>
      <c r="I9" s="138"/>
    </row>
    <row r="10" spans="1:9">
      <c r="A10" s="130">
        <v>8</v>
      </c>
      <c r="B10" s="135" t="s">
        <v>102</v>
      </c>
      <c r="C10" s="136"/>
      <c r="D10" s="136"/>
      <c r="E10" s="137"/>
      <c r="F10" s="137"/>
      <c r="G10" s="137"/>
      <c r="H10" s="136" t="s">
        <v>88</v>
      </c>
      <c r="I10" s="138" t="s">
        <v>103</v>
      </c>
    </row>
    <row r="11" spans="1:9">
      <c r="A11" s="130">
        <v>9</v>
      </c>
      <c r="B11" s="135" t="s">
        <v>104</v>
      </c>
      <c r="C11" s="136"/>
      <c r="D11" s="136"/>
      <c r="E11" s="137"/>
      <c r="F11" s="137"/>
      <c r="G11" s="137"/>
      <c r="H11" s="136" t="s">
        <v>105</v>
      </c>
      <c r="I11" s="138" t="s">
        <v>103</v>
      </c>
    </row>
    <row r="12" spans="1:9">
      <c r="A12" s="130">
        <v>10</v>
      </c>
      <c r="B12" s="135" t="s">
        <v>106</v>
      </c>
      <c r="C12" s="136"/>
      <c r="D12" s="136"/>
      <c r="E12" s="137"/>
      <c r="F12" s="137"/>
      <c r="G12" s="137"/>
      <c r="H12" s="136" t="s">
        <v>88</v>
      </c>
      <c r="I12" s="138"/>
    </row>
    <row r="13" spans="1:9">
      <c r="A13" s="130">
        <v>11</v>
      </c>
      <c r="B13" s="135" t="s">
        <v>20</v>
      </c>
      <c r="C13" s="136" t="s">
        <v>107</v>
      </c>
      <c r="D13" s="136" t="s">
        <v>108</v>
      </c>
      <c r="E13" s="137" t="s">
        <v>94</v>
      </c>
      <c r="F13" s="137"/>
      <c r="G13" s="137" t="s">
        <v>109</v>
      </c>
      <c r="H13" s="136" t="s">
        <v>88</v>
      </c>
      <c r="I13" s="138"/>
    </row>
    <row r="14" spans="1:9">
      <c r="A14" s="130">
        <v>12</v>
      </c>
      <c r="B14" s="135" t="s">
        <v>21</v>
      </c>
      <c r="C14" s="136" t="s">
        <v>107</v>
      </c>
      <c r="D14" s="136" t="s">
        <v>108</v>
      </c>
      <c r="E14" s="137" t="s">
        <v>94</v>
      </c>
      <c r="F14" s="137"/>
      <c r="G14" s="137" t="s">
        <v>110</v>
      </c>
      <c r="H14" s="136" t="s">
        <v>88</v>
      </c>
      <c r="I14" s="138"/>
    </row>
    <row r="15" spans="1:9">
      <c r="A15" s="130">
        <v>13</v>
      </c>
      <c r="B15" s="135" t="s">
        <v>111</v>
      </c>
      <c r="C15" s="136" t="s">
        <v>107</v>
      </c>
      <c r="D15" s="136" t="s">
        <v>87</v>
      </c>
      <c r="E15" s="137" t="s">
        <v>89</v>
      </c>
      <c r="F15" s="137"/>
      <c r="G15" s="137" t="s">
        <v>109</v>
      </c>
      <c r="H15" s="136" t="s">
        <v>88</v>
      </c>
      <c r="I15" s="138"/>
    </row>
    <row r="16" spans="1:9">
      <c r="A16" s="130">
        <v>14</v>
      </c>
      <c r="B16" s="135" t="s">
        <v>112</v>
      </c>
      <c r="C16" s="136" t="s">
        <v>107</v>
      </c>
      <c r="D16" s="136" t="s">
        <v>87</v>
      </c>
      <c r="E16" s="137" t="s">
        <v>89</v>
      </c>
      <c r="F16" s="137"/>
      <c r="G16" s="137" t="s">
        <v>110</v>
      </c>
      <c r="H16" s="136" t="s">
        <v>88</v>
      </c>
      <c r="I16" s="138"/>
    </row>
    <row r="17" spans="1:9">
      <c r="A17" s="130">
        <v>15</v>
      </c>
      <c r="B17" s="135" t="s">
        <v>113</v>
      </c>
      <c r="C17" s="136" t="s">
        <v>114</v>
      </c>
      <c r="D17" s="136"/>
      <c r="E17" s="137" t="s">
        <v>94</v>
      </c>
      <c r="F17" s="137"/>
      <c r="G17" s="137"/>
      <c r="H17" s="136" t="s">
        <v>115</v>
      </c>
      <c r="I17" s="138"/>
    </row>
    <row r="18" spans="1:9">
      <c r="A18" s="130">
        <v>16</v>
      </c>
      <c r="B18" s="135" t="s">
        <v>116</v>
      </c>
      <c r="C18" s="136" t="s">
        <v>114</v>
      </c>
      <c r="D18" s="136" t="s">
        <v>87</v>
      </c>
      <c r="E18" s="137" t="s">
        <v>94</v>
      </c>
      <c r="F18" s="136" t="s">
        <v>117</v>
      </c>
      <c r="G18" s="137"/>
      <c r="H18" s="136" t="s">
        <v>88</v>
      </c>
      <c r="I18" s="138"/>
    </row>
    <row r="19" spans="1:9" ht="25.5">
      <c r="A19" s="130">
        <v>17</v>
      </c>
      <c r="B19" s="135" t="s">
        <v>118</v>
      </c>
      <c r="C19" s="136" t="s">
        <v>114</v>
      </c>
      <c r="D19" s="136" t="s">
        <v>87</v>
      </c>
      <c r="E19" s="137" t="s">
        <v>94</v>
      </c>
      <c r="F19" s="136" t="s">
        <v>119</v>
      </c>
      <c r="G19" s="137"/>
      <c r="H19" s="136" t="s">
        <v>88</v>
      </c>
      <c r="I19" s="138"/>
    </row>
    <row r="20" spans="1:9" ht="25.5">
      <c r="A20" s="130">
        <v>18</v>
      </c>
      <c r="B20" s="135" t="s">
        <v>120</v>
      </c>
      <c r="C20" s="136" t="s">
        <v>114</v>
      </c>
      <c r="D20" s="136" t="s">
        <v>87</v>
      </c>
      <c r="E20" s="137" t="s">
        <v>94</v>
      </c>
      <c r="F20" s="137"/>
      <c r="G20" s="137" t="s">
        <v>109</v>
      </c>
      <c r="H20" s="136" t="s">
        <v>95</v>
      </c>
      <c r="I20" s="138"/>
    </row>
    <row r="21" spans="1:9" ht="25.5">
      <c r="A21" s="130">
        <v>19</v>
      </c>
      <c r="B21" s="135" t="s">
        <v>121</v>
      </c>
      <c r="C21" s="136" t="s">
        <v>114</v>
      </c>
      <c r="D21" s="136" t="s">
        <v>87</v>
      </c>
      <c r="E21" s="137" t="s">
        <v>94</v>
      </c>
      <c r="F21" s="137"/>
      <c r="G21" s="137" t="s">
        <v>110</v>
      </c>
      <c r="H21" s="136" t="s">
        <v>95</v>
      </c>
      <c r="I21" s="138"/>
    </row>
    <row r="22" spans="1:9" ht="25.5">
      <c r="A22" s="130">
        <v>20</v>
      </c>
      <c r="B22" s="135" t="s">
        <v>122</v>
      </c>
      <c r="C22" s="136"/>
      <c r="D22" s="136" t="s">
        <v>123</v>
      </c>
      <c r="E22" s="137" t="s">
        <v>124</v>
      </c>
      <c r="F22" s="137"/>
      <c r="G22" s="137"/>
      <c r="H22" s="136" t="s">
        <v>125</v>
      </c>
      <c r="I22" s="138"/>
    </row>
    <row r="23" spans="1:9" ht="25.5">
      <c r="A23" s="130">
        <v>21</v>
      </c>
      <c r="B23" s="135" t="s">
        <v>126</v>
      </c>
      <c r="C23" s="136"/>
      <c r="D23" s="136" t="s">
        <v>127</v>
      </c>
      <c r="E23" s="137"/>
      <c r="F23" s="137"/>
      <c r="G23" s="137"/>
      <c r="H23" s="136" t="s">
        <v>128</v>
      </c>
      <c r="I23" s="138"/>
    </row>
    <row r="24" spans="1:9">
      <c r="A24" s="130">
        <v>22</v>
      </c>
      <c r="B24" s="135" t="s">
        <v>129</v>
      </c>
      <c r="C24" s="136"/>
      <c r="D24" s="136" t="s">
        <v>127</v>
      </c>
      <c r="E24" s="137"/>
      <c r="F24" s="137"/>
      <c r="G24" s="137"/>
      <c r="H24" s="136" t="s">
        <v>130</v>
      </c>
      <c r="I24" s="138"/>
    </row>
    <row r="25" spans="1:9" ht="25.5">
      <c r="A25" s="130">
        <v>23</v>
      </c>
      <c r="B25" s="135" t="s">
        <v>131</v>
      </c>
      <c r="C25" s="136" t="s">
        <v>93</v>
      </c>
      <c r="D25" s="136" t="s">
        <v>108</v>
      </c>
      <c r="E25" s="137"/>
      <c r="F25" s="137"/>
      <c r="G25" s="137" t="s">
        <v>132</v>
      </c>
      <c r="H25" s="136" t="s">
        <v>88</v>
      </c>
      <c r="I25" s="138"/>
    </row>
    <row r="26" spans="1:9" ht="25.5">
      <c r="A26" s="130">
        <v>24</v>
      </c>
      <c r="B26" s="135" t="s">
        <v>133</v>
      </c>
      <c r="C26" s="136" t="s">
        <v>93</v>
      </c>
      <c r="D26" s="136" t="s">
        <v>108</v>
      </c>
      <c r="E26" s="137"/>
      <c r="F26" s="137"/>
      <c r="G26" s="137" t="s">
        <v>90</v>
      </c>
      <c r="H26" s="136" t="s">
        <v>88</v>
      </c>
      <c r="I26" s="138"/>
    </row>
    <row r="27" spans="1:9">
      <c r="A27" s="130">
        <v>25</v>
      </c>
      <c r="B27" s="135" t="s">
        <v>134</v>
      </c>
      <c r="C27" s="136"/>
      <c r="D27" s="136" t="s">
        <v>87</v>
      </c>
      <c r="E27" s="137"/>
      <c r="F27" s="137"/>
      <c r="G27" s="137"/>
      <c r="H27" s="136" t="s">
        <v>105</v>
      </c>
      <c r="I27" s="138"/>
    </row>
    <row r="28" spans="1:9">
      <c r="A28" s="130">
        <v>26</v>
      </c>
      <c r="B28" s="135" t="s">
        <v>135</v>
      </c>
      <c r="C28" s="136"/>
      <c r="D28" s="136" t="s">
        <v>99</v>
      </c>
      <c r="E28" s="137"/>
      <c r="F28" s="137"/>
      <c r="G28" s="137"/>
      <c r="H28" s="136" t="s">
        <v>105</v>
      </c>
      <c r="I28" s="138"/>
    </row>
    <row r="29" spans="1:9">
      <c r="A29" s="130">
        <v>27</v>
      </c>
      <c r="B29" s="135" t="s">
        <v>136</v>
      </c>
      <c r="C29" s="136"/>
      <c r="D29" s="136" t="s">
        <v>127</v>
      </c>
      <c r="E29" s="137"/>
      <c r="F29" s="137"/>
      <c r="G29" s="137"/>
      <c r="H29" s="136" t="s">
        <v>105</v>
      </c>
      <c r="I29" s="138"/>
    </row>
    <row r="30" spans="1:9">
      <c r="A30" s="130">
        <v>28</v>
      </c>
      <c r="B30" s="135" t="s">
        <v>137</v>
      </c>
      <c r="C30" s="136"/>
      <c r="D30" s="136" t="s">
        <v>101</v>
      </c>
      <c r="E30" s="137"/>
      <c r="F30" s="137"/>
      <c r="G30" s="137"/>
      <c r="H30" s="136" t="s">
        <v>105</v>
      </c>
      <c r="I30" s="138"/>
    </row>
    <row r="31" spans="1:9">
      <c r="A31" s="130">
        <v>29</v>
      </c>
      <c r="B31" s="135" t="s">
        <v>138</v>
      </c>
      <c r="C31" s="136" t="s">
        <v>139</v>
      </c>
      <c r="D31" s="136" t="s">
        <v>87</v>
      </c>
      <c r="E31" s="137" t="s">
        <v>89</v>
      </c>
      <c r="F31" s="137"/>
      <c r="G31" s="137" t="s">
        <v>90</v>
      </c>
      <c r="H31" s="136" t="s">
        <v>88</v>
      </c>
      <c r="I31" s="138"/>
    </row>
    <row r="32" spans="1:9">
      <c r="A32" s="130">
        <v>30</v>
      </c>
      <c r="B32" s="139" t="s">
        <v>140</v>
      </c>
      <c r="C32" s="140" t="s">
        <v>139</v>
      </c>
      <c r="D32" s="140" t="s">
        <v>87</v>
      </c>
      <c r="E32" s="141" t="s">
        <v>89</v>
      </c>
      <c r="F32" s="141"/>
      <c r="G32" s="141" t="s">
        <v>132</v>
      </c>
      <c r="H32" s="140" t="s">
        <v>88</v>
      </c>
      <c r="I32" s="142"/>
    </row>
    <row r="33" spans="1:9" ht="45.75" customHeight="1">
      <c r="A33" s="130">
        <v>31</v>
      </c>
      <c r="B33" s="135" t="s">
        <v>33</v>
      </c>
      <c r="C33" s="136"/>
      <c r="D33" s="136" t="s">
        <v>141</v>
      </c>
      <c r="E33" s="136" t="s">
        <v>142</v>
      </c>
      <c r="F33" s="137"/>
      <c r="G33" s="137"/>
      <c r="H33" s="136" t="s">
        <v>143</v>
      </c>
      <c r="I33" s="138"/>
    </row>
    <row r="34" spans="1:9" ht="48" customHeight="1" thickBot="1">
      <c r="A34" s="130">
        <v>32</v>
      </c>
      <c r="B34" s="143" t="s">
        <v>34</v>
      </c>
      <c r="C34" s="144"/>
      <c r="D34" s="144" t="s">
        <v>141</v>
      </c>
      <c r="E34" s="144" t="s">
        <v>142</v>
      </c>
      <c r="F34" s="145"/>
      <c r="G34" s="145"/>
      <c r="H34" s="144" t="s">
        <v>144</v>
      </c>
      <c r="I34" s="146"/>
    </row>
  </sheetData>
  <mergeCells count="2">
    <mergeCell ref="B1:H1"/>
    <mergeCell ref="A2:B2"/>
  </mergeCells>
  <hyperlinks>
    <hyperlink ref="I1" location="Home_page" display="Back to_x000a_home page" xr:uid="{FEE0EEF4-F872-41E0-B2BE-F1B8668C76E8}"/>
  </hyperlinks>
  <pageMargins left="0.70866141732283472" right="0.70866141732283472" top="0.74803149606299213" bottom="0.74803149606299213" header="0.31496062992125984" footer="0.31496062992125984"/>
  <pageSetup paperSize="9" scale="60"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7A24C-3076-4A66-89EF-30F1FAD2D16F}">
  <sheetPr codeName="Feuil39">
    <pageSetUpPr fitToPage="1"/>
  </sheetPr>
  <dimension ref="A1:M33"/>
  <sheetViews>
    <sheetView workbookViewId="0">
      <selection activeCell="O20" sqref="O20"/>
    </sheetView>
  </sheetViews>
  <sheetFormatPr defaultColWidth="8.75" defaultRowHeight="15" customHeight="1"/>
  <cols>
    <col min="1" max="1" width="32.25" style="106" customWidth="1"/>
    <col min="2" max="2" width="6.75" style="106" customWidth="1"/>
    <col min="3" max="13" width="6.75" style="105" customWidth="1"/>
    <col min="14" max="24" width="6.75" style="106" customWidth="1"/>
    <col min="25" max="16384" width="8.75" style="106"/>
  </cols>
  <sheetData>
    <row r="1" spans="1:13" ht="33" customHeight="1" thickBot="1">
      <c r="A1" s="20" t="s">
        <v>8</v>
      </c>
      <c r="B1" s="20"/>
      <c r="C1" s="20"/>
      <c r="D1" s="20"/>
      <c r="E1" s="20"/>
      <c r="F1" s="20"/>
      <c r="J1" s="106"/>
      <c r="K1" s="191" t="s">
        <v>42</v>
      </c>
      <c r="L1" s="191"/>
      <c r="M1" s="191"/>
    </row>
    <row r="2" spans="1:13" ht="15" customHeight="1" thickBot="1">
      <c r="A2" s="107" t="s">
        <v>644</v>
      </c>
      <c r="B2" s="108" t="s">
        <v>226</v>
      </c>
      <c r="C2" s="109">
        <v>2010</v>
      </c>
      <c r="D2" s="109">
        <v>2011</v>
      </c>
      <c r="E2" s="109">
        <v>2012</v>
      </c>
      <c r="F2" s="109">
        <v>2013</v>
      </c>
      <c r="G2" s="109">
        <v>2014</v>
      </c>
      <c r="H2" s="109">
        <v>2015</v>
      </c>
      <c r="I2" s="109">
        <v>2016</v>
      </c>
      <c r="J2" s="109">
        <v>2017</v>
      </c>
      <c r="K2" s="109">
        <v>2018</v>
      </c>
      <c r="L2" s="109">
        <v>2019</v>
      </c>
      <c r="M2" s="109">
        <v>2020</v>
      </c>
    </row>
    <row r="3" spans="1:13" ht="15" customHeight="1">
      <c r="A3" s="110" t="s">
        <v>10</v>
      </c>
      <c r="C3" s="111">
        <v>7.0720109417806931E-2</v>
      </c>
      <c r="D3" s="111">
        <v>-1.7567958888288111E-2</v>
      </c>
      <c r="E3" s="111">
        <v>8.8957626648430405E-2</v>
      </c>
      <c r="F3" s="111">
        <v>9.3373172041123109E-2</v>
      </c>
      <c r="G3" s="111">
        <v>0.11333002997852977</v>
      </c>
      <c r="H3" s="111">
        <v>0.12284994927411556</v>
      </c>
      <c r="I3" s="111">
        <v>0.20785989993186568</v>
      </c>
      <c r="J3" s="111">
        <v>0.13880760975699449</v>
      </c>
      <c r="K3" s="111">
        <v>0.13554097644173119</v>
      </c>
      <c r="L3" s="111">
        <v>0.1564889751835373</v>
      </c>
      <c r="M3" s="111">
        <v>0.11605034305473683</v>
      </c>
    </row>
    <row r="4" spans="1:13" ht="15" customHeight="1">
      <c r="A4" s="112" t="s">
        <v>11</v>
      </c>
      <c r="C4" s="111">
        <v>8.3974488227839011E-2</v>
      </c>
      <c r="D4" s="111">
        <v>0.13104269351479547</v>
      </c>
      <c r="E4" s="111">
        <v>0.22978086863958788</v>
      </c>
      <c r="F4" s="111">
        <v>6.9732430406166127E-2</v>
      </c>
      <c r="G4" s="111">
        <v>0.11263332738718984</v>
      </c>
      <c r="H4" s="111">
        <v>0.11796363503241111</v>
      </c>
      <c r="I4" s="111">
        <v>0.14849951092592167</v>
      </c>
      <c r="J4" s="111">
        <v>8.0930911539698849E-2</v>
      </c>
      <c r="K4" s="111">
        <v>0.11605700300744057</v>
      </c>
      <c r="L4" s="111">
        <v>0.22821629880883415</v>
      </c>
      <c r="M4" s="111">
        <v>0.24713079314032785</v>
      </c>
    </row>
    <row r="5" spans="1:13" ht="15" customHeight="1">
      <c r="A5" s="112" t="s">
        <v>12</v>
      </c>
      <c r="C5" s="111">
        <v>0.15005097957892802</v>
      </c>
      <c r="D5" s="111">
        <v>0.21760911218114554</v>
      </c>
      <c r="E5" s="111">
        <v>0.18942821450378136</v>
      </c>
      <c r="F5" s="111">
        <v>0.17704850739661585</v>
      </c>
      <c r="G5" s="111">
        <v>0.11025175879064036</v>
      </c>
      <c r="H5" s="111">
        <v>0.17369296374984194</v>
      </c>
      <c r="I5" s="111">
        <v>0.20535232436406356</v>
      </c>
      <c r="J5" s="111">
        <v>0.22479428999073467</v>
      </c>
      <c r="K5" s="111">
        <v>0.11973968860865913</v>
      </c>
      <c r="L5" s="111">
        <v>0.13250668294521198</v>
      </c>
      <c r="M5" s="111">
        <v>0.15655986526587606</v>
      </c>
    </row>
    <row r="6" spans="1:13" ht="15" customHeight="1">
      <c r="A6" s="112" t="s">
        <v>13</v>
      </c>
      <c r="C6" s="111">
        <v>6.9281620755338433E-2</v>
      </c>
      <c r="D6" s="111">
        <v>5.2093958499788914E-2</v>
      </c>
      <c r="E6" s="111">
        <v>-7.9576506412938341E-3</v>
      </c>
      <c r="F6" s="111">
        <v>-9.5772558559811607E-3</v>
      </c>
      <c r="G6" s="111">
        <v>2.1263712858894224E-2</v>
      </c>
      <c r="H6" s="111">
        <v>6.7477398323561449E-2</v>
      </c>
      <c r="I6" s="111">
        <v>0.33128324882854676</v>
      </c>
      <c r="J6" s="111">
        <v>6.8412079495098393E-2</v>
      </c>
      <c r="K6" s="111">
        <v>3.4946903808006531E-2</v>
      </c>
      <c r="L6" s="111">
        <v>6.1491341775533268E-3</v>
      </c>
      <c r="M6" s="111">
        <v>2.7797819446011767E-2</v>
      </c>
    </row>
    <row r="7" spans="1:13" ht="15" customHeight="1">
      <c r="A7" s="112" t="s">
        <v>14</v>
      </c>
      <c r="C7" s="111">
        <v>0.182672407717449</v>
      </c>
      <c r="D7" s="111">
        <v>1.3005978462584002E-2</v>
      </c>
      <c r="E7" s="111">
        <v>0.13290947144304735</v>
      </c>
      <c r="F7" s="111">
        <v>0.11895080933583366</v>
      </c>
      <c r="G7" s="111">
        <v>0.19153000458204431</v>
      </c>
      <c r="H7" s="111">
        <v>0.16893050194846132</v>
      </c>
      <c r="I7" s="111">
        <v>0.26688712426000838</v>
      </c>
      <c r="J7" s="111">
        <v>0.23687198467335868</v>
      </c>
      <c r="K7" s="111">
        <v>0.20466809158619578</v>
      </c>
      <c r="L7" s="111">
        <v>0.19598365222002087</v>
      </c>
      <c r="M7" s="111">
        <v>0.22183233132877192</v>
      </c>
    </row>
    <row r="8" spans="1:13" ht="15" customHeight="1">
      <c r="A8" s="112" t="s">
        <v>15</v>
      </c>
      <c r="C8" s="111">
        <v>0.26036407243725346</v>
      </c>
      <c r="D8" s="111">
        <v>3.5001962882059284E-2</v>
      </c>
      <c r="E8" s="111">
        <v>0.20320225509227513</v>
      </c>
      <c r="F8" s="111">
        <v>4.073402189158485E-2</v>
      </c>
      <c r="G8" s="111">
        <v>0.1941425812533927</v>
      </c>
      <c r="H8" s="111">
        <v>0.25594150534048049</v>
      </c>
      <c r="I8" s="111">
        <v>0.13559487748599974</v>
      </c>
      <c r="J8" s="111">
        <v>0.11549864701162627</v>
      </c>
      <c r="K8" s="111">
        <v>6.7623676496895255E-2</v>
      </c>
      <c r="L8" s="111">
        <v>9.328478229392273E-2</v>
      </c>
      <c r="M8" s="111">
        <v>0.12477658256286071</v>
      </c>
    </row>
    <row r="9" spans="1:13" ht="15" customHeight="1">
      <c r="A9" s="112" t="s">
        <v>17</v>
      </c>
      <c r="C9" s="111">
        <v>-2.6686336489733779E-2</v>
      </c>
      <c r="D9" s="111">
        <v>0.10188751315535756</v>
      </c>
      <c r="E9" s="111">
        <v>-7.8888479708430312E-2</v>
      </c>
      <c r="F9" s="111">
        <v>7.1542755391941104E-2</v>
      </c>
      <c r="G9" s="111">
        <v>6.5389808756776996E-2</v>
      </c>
      <c r="H9" s="111">
        <v>0.24544335240175696</v>
      </c>
      <c r="I9" s="111">
        <v>0.2515892163171693</v>
      </c>
      <c r="J9" s="111">
        <v>7.9040524114646862E-2</v>
      </c>
      <c r="K9" s="111">
        <v>7.2216689458681135E-2</v>
      </c>
      <c r="L9" s="111">
        <v>-3.7308001746848263E-3</v>
      </c>
      <c r="M9" s="111">
        <v>4.6619823033583439E-2</v>
      </c>
    </row>
    <row r="10" spans="1:13" ht="15" customHeight="1">
      <c r="A10" s="112" t="s">
        <v>18</v>
      </c>
      <c r="C10" s="111">
        <v>-0.36362719145613676</v>
      </c>
      <c r="D10" s="111">
        <v>-0.3046667253740763</v>
      </c>
      <c r="E10" s="111">
        <v>-0.52750951215660269</v>
      </c>
      <c r="F10" s="111">
        <v>-0.72107948551700563</v>
      </c>
      <c r="G10" s="111">
        <v>-1.4058321873869066</v>
      </c>
      <c r="H10" s="111">
        <v>-0.69674178310015566</v>
      </c>
      <c r="I10" s="111">
        <v>-0.36251498603208443</v>
      </c>
      <c r="J10" s="111">
        <v>-0.82121060906389132</v>
      </c>
      <c r="K10" s="111">
        <v>-0.86397843334615443</v>
      </c>
      <c r="L10" s="111">
        <v>-0.53967735013424301</v>
      </c>
      <c r="M10" s="111">
        <v>-0.41283307704490069</v>
      </c>
    </row>
    <row r="11" spans="1:13" ht="15" customHeight="1">
      <c r="A11" s="112" t="s">
        <v>19</v>
      </c>
      <c r="C11" s="111">
        <v>5.121719617574004E-2</v>
      </c>
      <c r="D11" s="111">
        <v>9.6830621228150504E-2</v>
      </c>
      <c r="E11" s="111">
        <v>-8.2836207848332857E-2</v>
      </c>
      <c r="F11" s="111">
        <v>-7.0845060589215386E-2</v>
      </c>
      <c r="G11" s="111">
        <v>7.2459302569953699E-2</v>
      </c>
      <c r="H11" s="111">
        <v>-0.29147917910576548</v>
      </c>
      <c r="I11" s="111">
        <v>6.5447387368056845E-2</v>
      </c>
      <c r="J11" s="111">
        <v>0.15947163165417566</v>
      </c>
      <c r="K11" s="111">
        <v>-4.7005026540290415E-2</v>
      </c>
      <c r="L11" s="111">
        <v>-0.11831573347482023</v>
      </c>
      <c r="M11" s="111">
        <v>-6.664036096360345E-3</v>
      </c>
    </row>
    <row r="12" spans="1:13" ht="15" customHeight="1">
      <c r="A12" s="112" t="s">
        <v>20</v>
      </c>
      <c r="C12" s="111">
        <v>-9.8998953567465929E-3</v>
      </c>
      <c r="D12" s="111">
        <v>-4.3863159176050596E-2</v>
      </c>
      <c r="E12" s="111">
        <v>-9.2577038746386536E-2</v>
      </c>
      <c r="F12" s="111">
        <v>-0.12480832750239332</v>
      </c>
      <c r="G12" s="111">
        <v>-0.14231234226648845</v>
      </c>
      <c r="H12" s="111">
        <v>-6.110952382440317E-2</v>
      </c>
      <c r="I12" s="111">
        <v>-3.6970254908854738E-3</v>
      </c>
      <c r="J12" s="111">
        <v>4.0584619680502393E-2</v>
      </c>
      <c r="K12" s="111">
        <v>-0.22132839292280609</v>
      </c>
      <c r="L12" s="111">
        <v>-8.7347444026556822E-2</v>
      </c>
      <c r="M12" s="111">
        <v>-0.49130123671568088</v>
      </c>
    </row>
    <row r="13" spans="1:13" ht="15" customHeight="1">
      <c r="A13" s="112" t="s">
        <v>21</v>
      </c>
      <c r="C13" s="111">
        <v>-0.19038470964306517</v>
      </c>
      <c r="D13" s="111">
        <v>-0.38020997368552395</v>
      </c>
      <c r="E13" s="111">
        <v>-9.4560568034648795E-2</v>
      </c>
      <c r="F13" s="111">
        <v>-0.13378568016856338</v>
      </c>
      <c r="G13" s="111">
        <v>-0.71066744716282992</v>
      </c>
      <c r="H13" s="111">
        <v>-9.0802120932592836E-2</v>
      </c>
      <c r="I13" s="111">
        <v>-8.1378499097016749E-2</v>
      </c>
      <c r="J13" s="111">
        <v>-2.9527924658796733E-2</v>
      </c>
      <c r="K13" s="111">
        <v>-1.8247872344096795E-2</v>
      </c>
      <c r="L13" s="111">
        <v>-1.0175680931310853</v>
      </c>
      <c r="M13" s="111">
        <v>-0.52364751529797782</v>
      </c>
    </row>
    <row r="14" spans="1:13" ht="15" customHeight="1">
      <c r="A14" s="112" t="s">
        <v>22</v>
      </c>
      <c r="C14" s="111">
        <v>-4.1548821296980051E-2</v>
      </c>
      <c r="D14" s="111">
        <v>1.9192341676425948E-2</v>
      </c>
      <c r="E14" s="111">
        <v>2.06842481321125E-2</v>
      </c>
      <c r="F14" s="111">
        <v>-1.4850330776814399E-2</v>
      </c>
      <c r="G14" s="111">
        <v>1.3141716117026969E-2</v>
      </c>
      <c r="H14" s="111">
        <v>5.3413899100402222E-3</v>
      </c>
      <c r="I14" s="111">
        <v>6.2987494783091319E-2</v>
      </c>
      <c r="J14" s="111">
        <v>5.3640275756648204E-2</v>
      </c>
      <c r="K14" s="111">
        <v>-6.4069566800572061E-2</v>
      </c>
      <c r="L14" s="111">
        <v>5.1488439125478284E-2</v>
      </c>
      <c r="M14" s="111">
        <v>0.10876661456750961</v>
      </c>
    </row>
    <row r="15" spans="1:13" ht="15" customHeight="1">
      <c r="A15" s="112" t="s">
        <v>23</v>
      </c>
      <c r="C15" s="111">
        <v>-5.4393062829533774E-2</v>
      </c>
      <c r="D15" s="111">
        <v>0.11026628954219951</v>
      </c>
      <c r="E15" s="111">
        <v>7.2541736691823816E-2</v>
      </c>
      <c r="F15" s="111">
        <v>9.849415370801121E-3</v>
      </c>
      <c r="G15" s="111">
        <v>4.902801572547754E-2</v>
      </c>
      <c r="H15" s="111">
        <v>-4.578397585179951E-3</v>
      </c>
      <c r="I15" s="111">
        <v>0.11105428118442022</v>
      </c>
      <c r="J15" s="111">
        <v>5.3741909930776445E-3</v>
      </c>
      <c r="K15" s="111">
        <v>5.0524418199285166E-2</v>
      </c>
      <c r="L15" s="111">
        <v>-6.0166004707571517E-2</v>
      </c>
      <c r="M15" s="111">
        <v>-3.4403433372955698E-2</v>
      </c>
    </row>
    <row r="16" spans="1:13" ht="15" customHeight="1">
      <c r="A16" s="112" t="s">
        <v>24</v>
      </c>
      <c r="C16" s="111">
        <v>2.7208646547885063E-2</v>
      </c>
      <c r="D16" s="111">
        <v>7.1064502201184645E-3</v>
      </c>
      <c r="E16" s="111">
        <v>-2.6903037059312757E-2</v>
      </c>
      <c r="F16" s="111">
        <v>2.0952600828537397E-2</v>
      </c>
      <c r="G16" s="111">
        <v>6.2100609726487718E-2</v>
      </c>
      <c r="H16" s="111">
        <v>7.7413260571262452E-2</v>
      </c>
      <c r="I16" s="111">
        <v>0.1207608309220269</v>
      </c>
      <c r="J16" s="111">
        <v>0.1134821054540046</v>
      </c>
      <c r="K16" s="111">
        <v>0.11109335286553755</v>
      </c>
      <c r="L16" s="111">
        <v>0.13443848424370147</v>
      </c>
      <c r="M16" s="111">
        <v>0.17931687430051266</v>
      </c>
    </row>
    <row r="17" spans="1:13" ht="15" customHeight="1">
      <c r="A17" s="112" t="s">
        <v>25</v>
      </c>
      <c r="C17" s="111">
        <v>4.4542741045612358E-2</v>
      </c>
      <c r="D17" s="111">
        <v>5.1328959714178182E-2</v>
      </c>
      <c r="E17" s="111">
        <v>3.986358151264828E-2</v>
      </c>
      <c r="F17" s="111">
        <v>0.12973675414835911</v>
      </c>
      <c r="G17" s="111">
        <v>0.17600658805710817</v>
      </c>
      <c r="H17" s="111">
        <v>2.529085893594149E-2</v>
      </c>
      <c r="I17" s="111">
        <v>0.16651911335544434</v>
      </c>
      <c r="J17" s="111">
        <v>0.12756136179777014</v>
      </c>
      <c r="K17" s="111">
        <v>9.3393823707094051E-2</v>
      </c>
      <c r="L17" s="111">
        <v>8.2209132102806365E-2</v>
      </c>
      <c r="M17" s="111">
        <v>0.13036170624365237</v>
      </c>
    </row>
    <row r="18" spans="1:13" ht="15" customHeight="1">
      <c r="A18" s="112" t="s">
        <v>26</v>
      </c>
      <c r="C18" s="111">
        <v>7.4611193591600122E-2</v>
      </c>
      <c r="D18" s="111">
        <v>0.12278063563265079</v>
      </c>
      <c r="E18" s="111">
        <v>8.978955456842852E-2</v>
      </c>
      <c r="F18" s="111">
        <v>0.11648238239170568</v>
      </c>
      <c r="G18" s="111">
        <v>0.16550183861651621</v>
      </c>
      <c r="H18" s="111">
        <v>0.13211233522084007</v>
      </c>
      <c r="I18" s="111">
        <v>0.1413933775279933</v>
      </c>
      <c r="J18" s="111">
        <v>0.19711623692803151</v>
      </c>
      <c r="K18" s="111">
        <v>0.19923523907413901</v>
      </c>
      <c r="L18" s="111">
        <v>6.6754156134184131E-2</v>
      </c>
      <c r="M18" s="111">
        <v>0.25239353891336269</v>
      </c>
    </row>
    <row r="19" spans="1:13" ht="15" customHeight="1">
      <c r="A19" s="112" t="s">
        <v>27</v>
      </c>
      <c r="C19" s="111">
        <v>5.4178811194042623E-2</v>
      </c>
      <c r="D19" s="111">
        <v>4.9537153579506617E-2</v>
      </c>
      <c r="E19" s="111">
        <v>1.0371586680396816E-2</v>
      </c>
      <c r="F19" s="111">
        <v>7.8745073417389122E-2</v>
      </c>
      <c r="G19" s="111">
        <v>8.3697647004044126E-2</v>
      </c>
      <c r="H19" s="111">
        <v>5.7618687158806713E-2</v>
      </c>
      <c r="I19" s="111">
        <v>0.13561500352507111</v>
      </c>
      <c r="J19" s="111">
        <v>0.23009030008731268</v>
      </c>
      <c r="K19" s="111">
        <v>9.5116763887980751E-2</v>
      </c>
      <c r="L19" s="111">
        <v>0.16263736699168529</v>
      </c>
      <c r="M19" s="111">
        <v>0.21507508768808686</v>
      </c>
    </row>
    <row r="20" spans="1:13" ht="15" customHeight="1">
      <c r="A20" s="112" t="s">
        <v>28</v>
      </c>
      <c r="C20" s="111">
        <v>7.3616571224334834E-2</v>
      </c>
      <c r="D20" s="111">
        <v>0.16441840094593679</v>
      </c>
      <c r="E20" s="111">
        <v>0.11202669887539753</v>
      </c>
      <c r="F20" s="111">
        <v>9.9528181694152701E-2</v>
      </c>
      <c r="G20" s="111">
        <v>7.6264915401041938E-2</v>
      </c>
      <c r="H20" s="111">
        <v>5.2605068973870239E-2</v>
      </c>
      <c r="I20" s="111">
        <v>0.12638261689653629</v>
      </c>
      <c r="J20" s="111">
        <v>0.2405516093745893</v>
      </c>
      <c r="K20" s="111">
        <v>9.1857572334885965E-2</v>
      </c>
      <c r="L20" s="111">
        <v>9.1855329688123197E-2</v>
      </c>
      <c r="M20" s="111">
        <v>0.27406461916120078</v>
      </c>
    </row>
    <row r="21" spans="1:13" ht="15" customHeight="1">
      <c r="A21" s="112" t="s">
        <v>29</v>
      </c>
      <c r="C21" s="111">
        <v>0.18202722803471569</v>
      </c>
      <c r="D21" s="111">
        <v>8.5253947239225414E-2</v>
      </c>
      <c r="E21" s="111">
        <v>0.26085075585664064</v>
      </c>
      <c r="F21" s="111">
        <v>0.13293138934652837</v>
      </c>
      <c r="G21" s="111">
        <v>0.20118431144061499</v>
      </c>
      <c r="H21" s="111">
        <v>0.26543164426144017</v>
      </c>
      <c r="I21" s="111">
        <v>0.25484266813003642</v>
      </c>
      <c r="J21" s="111">
        <v>0.25650429007013259</v>
      </c>
      <c r="K21" s="111">
        <v>0.2702601265055683</v>
      </c>
      <c r="L21" s="111">
        <v>0.23885700111404051</v>
      </c>
      <c r="M21" s="111">
        <v>0.33343261156694609</v>
      </c>
    </row>
    <row r="22" spans="1:13" ht="15" customHeight="1">
      <c r="A22" s="112" t="s">
        <v>30</v>
      </c>
      <c r="C22" s="111">
        <v>4.5756398835036301E-2</v>
      </c>
      <c r="D22" s="111">
        <v>1.0516628363916642E-2</v>
      </c>
      <c r="E22" s="111">
        <v>0.13332946970552265</v>
      </c>
      <c r="F22" s="111">
        <v>0.10477477859939456</v>
      </c>
      <c r="G22" s="111">
        <v>0.14406695116981785</v>
      </c>
      <c r="H22" s="111">
        <v>0.15317875070352077</v>
      </c>
      <c r="I22" s="111">
        <v>0.17356636079795021</v>
      </c>
      <c r="J22" s="111">
        <v>0.19882827504301506</v>
      </c>
      <c r="K22" s="111">
        <v>0.17869427119763995</v>
      </c>
      <c r="L22" s="111">
        <v>0.1932240337277211</v>
      </c>
      <c r="M22" s="111">
        <v>0.22533357332269865</v>
      </c>
    </row>
    <row r="23" spans="1:13" ht="15" customHeight="1">
      <c r="A23" s="112" t="s">
        <v>31</v>
      </c>
      <c r="C23" s="111">
        <v>6.8395459742899276E-2</v>
      </c>
      <c r="D23" s="111">
        <v>0.10282333162073677</v>
      </c>
      <c r="E23" s="111">
        <v>2.4979706384365485E-2</v>
      </c>
      <c r="F23" s="111">
        <v>2.761348331609004E-3</v>
      </c>
      <c r="G23" s="111">
        <v>6.7765618162245828E-2</v>
      </c>
      <c r="H23" s="111">
        <v>5.970641433624542E-2</v>
      </c>
      <c r="I23" s="111">
        <v>0.14486111826195111</v>
      </c>
      <c r="J23" s="111">
        <v>0.13091887972675181</v>
      </c>
      <c r="K23" s="111">
        <v>6.498356422132083E-2</v>
      </c>
      <c r="L23" s="111">
        <v>4.2543699247659134E-2</v>
      </c>
      <c r="M23" s="111">
        <v>0.10140560993525446</v>
      </c>
    </row>
    <row r="24" spans="1:13" ht="15" customHeight="1">
      <c r="A24" s="112" t="s">
        <v>32</v>
      </c>
      <c r="C24" s="111">
        <v>8.1887687406271871E-3</v>
      </c>
      <c r="D24" s="111">
        <v>-7.6831425673283714E-3</v>
      </c>
      <c r="E24" s="111">
        <v>0.10711644108292515</v>
      </c>
      <c r="F24" s="111">
        <v>2.5620669772485023E-2</v>
      </c>
      <c r="G24" s="111">
        <v>1.8457337345767651E-2</v>
      </c>
      <c r="H24" s="111">
        <v>9.6992960882325993E-2</v>
      </c>
      <c r="I24" s="111">
        <v>0.2048012325138561</v>
      </c>
      <c r="J24" s="111">
        <v>0.19741713394281249</v>
      </c>
      <c r="K24" s="111">
        <v>0.10899380294559825</v>
      </c>
      <c r="L24" s="111">
        <v>0.20074120307891793</v>
      </c>
      <c r="M24" s="111">
        <v>0.24449317557787648</v>
      </c>
    </row>
    <row r="25" spans="1:13" ht="15" customHeight="1">
      <c r="A25" s="112" t="s">
        <v>35</v>
      </c>
      <c r="C25" s="111">
        <v>0.12859109872852972</v>
      </c>
      <c r="D25" s="111">
        <v>0.12987963466918201</v>
      </c>
      <c r="E25" s="111">
        <v>0.12584612329545644</v>
      </c>
      <c r="F25" s="111">
        <v>0.16039303557767681</v>
      </c>
      <c r="G25" s="111">
        <v>0.139277236017637</v>
      </c>
      <c r="H25" s="111">
        <v>0.13646386354646642</v>
      </c>
      <c r="I25" s="111">
        <v>0.25220796043951532</v>
      </c>
      <c r="J25" s="111">
        <v>0.22381439164784991</v>
      </c>
      <c r="K25" s="111">
        <v>0.10800350847304983</v>
      </c>
      <c r="L25" s="111">
        <v>0.11779031171829901</v>
      </c>
      <c r="M25" s="111">
        <v>0.16121582761700975</v>
      </c>
    </row>
    <row r="26" spans="1:13" ht="15" customHeight="1">
      <c r="A26" s="112" t="s">
        <v>36</v>
      </c>
      <c r="C26" s="111">
        <v>0.18443142067146723</v>
      </c>
      <c r="D26" s="111">
        <v>0.24022323097299508</v>
      </c>
      <c r="E26" s="111">
        <v>0.24614291687373827</v>
      </c>
      <c r="F26" s="111">
        <v>0.19524547224158134</v>
      </c>
      <c r="G26" s="111">
        <v>0.27710441430127725</v>
      </c>
      <c r="H26" s="111">
        <v>0.18736798983241154</v>
      </c>
      <c r="I26" s="111">
        <v>0.22123626605381175</v>
      </c>
      <c r="J26" s="111">
        <v>0.29608817078490024</v>
      </c>
      <c r="K26" s="111">
        <v>0.21389590353842078</v>
      </c>
      <c r="L26" s="111">
        <v>0.26622574778476543</v>
      </c>
      <c r="M26" s="111">
        <v>0.34566625937919643</v>
      </c>
    </row>
    <row r="27" spans="1:13" ht="15" customHeight="1">
      <c r="A27" s="112" t="s">
        <v>37</v>
      </c>
      <c r="C27" s="111">
        <v>0.17709959670857481</v>
      </c>
      <c r="D27" s="111">
        <v>0.17768782449430487</v>
      </c>
      <c r="E27" s="111">
        <v>0.11710164873905024</v>
      </c>
      <c r="F27" s="111">
        <v>0.13478278215001654</v>
      </c>
      <c r="G27" s="111">
        <v>0.10741803960178806</v>
      </c>
      <c r="H27" s="111">
        <v>0.10718326309778077</v>
      </c>
      <c r="I27" s="111">
        <v>0.23207125076520393</v>
      </c>
      <c r="J27" s="111">
        <v>0.19638216394142036</v>
      </c>
      <c r="K27" s="111">
        <v>0.19822683856407261</v>
      </c>
      <c r="L27" s="111">
        <v>0.16871306844665954</v>
      </c>
      <c r="M27" s="111">
        <v>0.22995128951903945</v>
      </c>
    </row>
    <row r="28" spans="1:13" ht="15" customHeight="1">
      <c r="A28" s="112" t="s">
        <v>38</v>
      </c>
      <c r="C28" s="111">
        <v>0.13924934660868665</v>
      </c>
      <c r="D28" s="111">
        <v>-1.752477186856221E-2</v>
      </c>
      <c r="E28" s="111">
        <v>0.11115915109167451</v>
      </c>
      <c r="F28" s="111">
        <v>0.17507301295777278</v>
      </c>
      <c r="G28" s="111">
        <v>0.1942816592852418</v>
      </c>
      <c r="H28" s="111">
        <v>0.27551728995540803</v>
      </c>
      <c r="I28" s="111">
        <v>0.29781914556312783</v>
      </c>
      <c r="J28" s="111">
        <v>0.24927804734767001</v>
      </c>
      <c r="K28" s="111">
        <v>0.19829941718806948</v>
      </c>
      <c r="L28" s="111">
        <v>0.20154508300859703</v>
      </c>
      <c r="M28" s="111">
        <v>0.2776716561027805</v>
      </c>
    </row>
    <row r="29" spans="1:13" ht="15" customHeight="1">
      <c r="A29" s="112" t="s">
        <v>39</v>
      </c>
      <c r="C29" s="111">
        <v>5.9125833135350844E-2</v>
      </c>
      <c r="D29" s="111">
        <v>0.13744128937319305</v>
      </c>
      <c r="E29" s="111">
        <v>0.15517141916864685</v>
      </c>
      <c r="F29" s="111">
        <v>5.7127880463471357E-2</v>
      </c>
      <c r="G29" s="111">
        <v>0.12468230803296995</v>
      </c>
      <c r="H29" s="111">
        <v>7.7649471729098835E-2</v>
      </c>
      <c r="I29" s="111">
        <v>9.6100992980922534E-2</v>
      </c>
      <c r="J29" s="111">
        <v>8.0322904217754468E-2</v>
      </c>
      <c r="K29" s="111">
        <v>-1.7653762737188449E-2</v>
      </c>
      <c r="L29" s="111">
        <v>7.4245728390328072E-2</v>
      </c>
      <c r="M29" s="111">
        <v>9.1961691493519945E-2</v>
      </c>
    </row>
    <row r="30" spans="1:13" ht="15" customHeight="1">
      <c r="A30" s="112" t="s">
        <v>40</v>
      </c>
      <c r="C30" s="111">
        <v>6.3775275103579901E-2</v>
      </c>
      <c r="D30" s="111">
        <v>0.10789868765698986</v>
      </c>
      <c r="E30" s="111">
        <v>0.166761643813122</v>
      </c>
      <c r="F30" s="111">
        <v>0.1104106453476762</v>
      </c>
      <c r="G30" s="111">
        <v>7.8213466394789544E-2</v>
      </c>
      <c r="H30" s="111">
        <v>0.12802907377263809</v>
      </c>
      <c r="I30" s="111">
        <v>0.13989706384658174</v>
      </c>
      <c r="J30" s="111">
        <v>0.10081783200624078</v>
      </c>
      <c r="K30" s="111">
        <v>7.8414462666280466E-2</v>
      </c>
      <c r="L30" s="111">
        <v>6.7415488518086014E-2</v>
      </c>
      <c r="M30" s="111">
        <v>0.11040706903551015</v>
      </c>
    </row>
    <row r="31" spans="1:13" ht="15" customHeight="1">
      <c r="A31" s="112" t="s">
        <v>33</v>
      </c>
      <c r="C31" s="111">
        <v>0.2006731894718756</v>
      </c>
      <c r="D31" s="111">
        <v>0.19550909859732382</v>
      </c>
      <c r="E31" s="111">
        <v>0.16127675044041154</v>
      </c>
      <c r="F31" s="111">
        <v>0.1331264566238313</v>
      </c>
      <c r="G31" s="111">
        <v>0.11575688597330955</v>
      </c>
      <c r="H31" s="111">
        <v>0.13143939550478836</v>
      </c>
      <c r="I31" s="111">
        <v>4.8786358381876151E-2</v>
      </c>
      <c r="J31" s="111">
        <v>0.14801352788277999</v>
      </c>
      <c r="K31" s="111">
        <v>-2.3003294425600687E-2</v>
      </c>
      <c r="L31" s="111">
        <v>6.4645079778936299E-2</v>
      </c>
      <c r="M31" s="111">
        <v>0.16700171205068659</v>
      </c>
    </row>
    <row r="32" spans="1:13" ht="15" customHeight="1" thickBot="1">
      <c r="A32" s="113" t="s">
        <v>34</v>
      </c>
      <c r="B32" s="114"/>
      <c r="C32" s="115">
        <v>0.10088341457493499</v>
      </c>
      <c r="D32" s="115">
        <v>3.3314398137885171E-2</v>
      </c>
      <c r="E32" s="115">
        <v>0.16818657100360032</v>
      </c>
      <c r="F32" s="115">
        <v>6.2384055296699673E-2</v>
      </c>
      <c r="G32" s="115">
        <v>0.12414012908023692</v>
      </c>
      <c r="H32" s="115">
        <v>0.12736841211771396</v>
      </c>
      <c r="I32" s="115">
        <v>0.11526024411762151</v>
      </c>
      <c r="J32" s="115">
        <v>5.8616902143144724E-2</v>
      </c>
      <c r="K32" s="115">
        <v>8.9157694334729781E-2</v>
      </c>
      <c r="L32" s="115">
        <v>4.0914214044544303E-2</v>
      </c>
      <c r="M32" s="115">
        <v>0.15806217230146369</v>
      </c>
    </row>
    <row r="33" spans="1:13" ht="15" customHeight="1">
      <c r="A33" s="45"/>
      <c r="M33" s="106"/>
    </row>
  </sheetData>
  <mergeCells count="1">
    <mergeCell ref="K1:M1"/>
  </mergeCells>
  <hyperlinks>
    <hyperlink ref="K1:M1" location="Home_page" display="Back to_x000a_home page" xr:uid="{9744E27A-A020-4F36-AC48-4EC5C2397F7B}"/>
  </hyperlinks>
  <pageMargins left="0.70866141732283472" right="0.70866141732283472" top="0.74803149606299213" bottom="0.74803149606299213" header="0.31496062992125984" footer="0.31496062992125984"/>
  <pageSetup paperSize="9" orientation="landscape"/>
  <extLst>
    <ext xmlns:x14="http://schemas.microsoft.com/office/spreadsheetml/2009/9/main" uri="{05C60535-1F16-4fd2-B633-F4F36F0B64E0}">
      <x14:sparklineGroups xmlns:xm="http://schemas.microsoft.com/office/excel/2006/main">
        <x14:sparklineGroup manualMax="0" manualMin="0" displayEmptyCellsAs="gap" high="1" low="1" xr2:uid="{1140939E-8F03-437C-893E-FC54B36EEE8F}">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'Net profit margin'!C3:M3</xm:f>
              <xm:sqref>B3</xm:sqref>
            </x14:sparkline>
            <x14:sparkline>
              <xm:f>'Net profit margin'!C4:M4</xm:f>
              <xm:sqref>B4</xm:sqref>
            </x14:sparkline>
            <x14:sparkline>
              <xm:f>'Net profit margin'!C5:M5</xm:f>
              <xm:sqref>B5</xm:sqref>
            </x14:sparkline>
            <x14:sparkline>
              <xm:f>'Net profit margin'!C6:M6</xm:f>
              <xm:sqref>B6</xm:sqref>
            </x14:sparkline>
            <x14:sparkline>
              <xm:f>'Net profit margin'!C7:M7</xm:f>
              <xm:sqref>B7</xm:sqref>
            </x14:sparkline>
            <x14:sparkline>
              <xm:f>'Net profit margin'!C8:M8</xm:f>
              <xm:sqref>B8</xm:sqref>
            </x14:sparkline>
            <x14:sparkline>
              <xm:f>'Net profit margin'!C9:M9</xm:f>
              <xm:sqref>B9</xm:sqref>
            </x14:sparkline>
            <x14:sparkline>
              <xm:f>'Net profit margin'!C10:M10</xm:f>
              <xm:sqref>B10</xm:sqref>
            </x14:sparkline>
            <x14:sparkline>
              <xm:f>'Net profit margin'!C11:M11</xm:f>
              <xm:sqref>B11</xm:sqref>
            </x14:sparkline>
            <x14:sparkline>
              <xm:f>'Net profit margin'!C12:M12</xm:f>
              <xm:sqref>B12</xm:sqref>
            </x14:sparkline>
            <x14:sparkline>
              <xm:f>'Net profit margin'!C13:M13</xm:f>
              <xm:sqref>B13</xm:sqref>
            </x14:sparkline>
            <x14:sparkline>
              <xm:f>'Net profit margin'!C14:M14</xm:f>
              <xm:sqref>B14</xm:sqref>
            </x14:sparkline>
            <x14:sparkline>
              <xm:f>'Net profit margin'!C15:M15</xm:f>
              <xm:sqref>B15</xm:sqref>
            </x14:sparkline>
            <x14:sparkline>
              <xm:f>'Net profit margin'!C16:M16</xm:f>
              <xm:sqref>B16</xm:sqref>
            </x14:sparkline>
            <x14:sparkline>
              <xm:f>'Net profit margin'!C17:M17</xm:f>
              <xm:sqref>B17</xm:sqref>
            </x14:sparkline>
            <x14:sparkline>
              <xm:f>'Net profit margin'!C18:M18</xm:f>
              <xm:sqref>B18</xm:sqref>
            </x14:sparkline>
            <x14:sparkline>
              <xm:f>'Net profit margin'!C19:M19</xm:f>
              <xm:sqref>B19</xm:sqref>
            </x14:sparkline>
            <x14:sparkline>
              <xm:f>'Net profit margin'!C20:M20</xm:f>
              <xm:sqref>B20</xm:sqref>
            </x14:sparkline>
            <x14:sparkline>
              <xm:f>'Net profit margin'!C21:M21</xm:f>
              <xm:sqref>B21</xm:sqref>
            </x14:sparkline>
            <x14:sparkline>
              <xm:f>'Net profit margin'!C22:M22</xm:f>
              <xm:sqref>B22</xm:sqref>
            </x14:sparkline>
            <x14:sparkline>
              <xm:f>'Net profit margin'!C23:M23</xm:f>
              <xm:sqref>B23</xm:sqref>
            </x14:sparkline>
            <x14:sparkline>
              <xm:f>'Net profit margin'!C24:M24</xm:f>
              <xm:sqref>B24</xm:sqref>
            </x14:sparkline>
            <x14:sparkline>
              <xm:f>'Net profit margin'!C25:M25</xm:f>
              <xm:sqref>B25</xm:sqref>
            </x14:sparkline>
            <x14:sparkline>
              <xm:f>'Net profit margin'!C26:M26</xm:f>
              <xm:sqref>B26</xm:sqref>
            </x14:sparkline>
            <x14:sparkline>
              <xm:f>'Net profit margin'!C27:M27</xm:f>
              <xm:sqref>B27</xm:sqref>
            </x14:sparkline>
            <x14:sparkline>
              <xm:f>'Net profit margin'!C28:M28</xm:f>
              <xm:sqref>B28</xm:sqref>
            </x14:sparkline>
            <x14:sparkline>
              <xm:f>'Net profit margin'!C29:M29</xm:f>
              <xm:sqref>B29</xm:sqref>
            </x14:sparkline>
            <x14:sparkline>
              <xm:f>'Net profit margin'!C30:M30</xm:f>
              <xm:sqref>B30</xm:sqref>
            </x14:sparkline>
            <x14:sparkline>
              <xm:f>'Net profit margin'!C31:M31</xm:f>
              <xm:sqref>B31</xm:sqref>
            </x14:sparkline>
            <x14:sparkline>
              <xm:f>'Net profit margin'!C32:M32</xm:f>
              <xm:sqref>B32</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E6329-321B-457A-8CBA-72BDE1ABEED0}">
  <sheetPr codeName="Feuille2">
    <pageSetUpPr fitToPage="1"/>
  </sheetPr>
  <dimension ref="A1:N34"/>
  <sheetViews>
    <sheetView topLeftCell="A13" workbookViewId="0">
      <selection activeCell="A14" sqref="A14:XFD14"/>
    </sheetView>
  </sheetViews>
  <sheetFormatPr defaultColWidth="8.75" defaultRowHeight="12.75"/>
  <cols>
    <col min="1" max="1" width="26.25" style="18" customWidth="1"/>
    <col min="2" max="2" width="12.25" style="7" customWidth="1"/>
    <col min="3" max="3" width="8.75" style="7"/>
    <col min="4" max="14" width="10.25" style="7" customWidth="1"/>
    <col min="15" max="16384" width="8.75" style="2"/>
  </cols>
  <sheetData>
    <row r="1" spans="1:14" ht="32.25" customHeight="1">
      <c r="A1" s="5" t="s">
        <v>145</v>
      </c>
      <c r="B1" s="6"/>
      <c r="C1" s="6"/>
      <c r="D1" s="6"/>
      <c r="E1" s="6"/>
      <c r="F1" s="6"/>
      <c r="G1" s="6"/>
      <c r="H1" s="6"/>
      <c r="M1" s="165" t="s">
        <v>42</v>
      </c>
      <c r="N1" s="165"/>
    </row>
    <row r="2" spans="1:14">
      <c r="A2" s="8" t="s">
        <v>146</v>
      </c>
      <c r="B2" s="6"/>
      <c r="C2" s="6"/>
      <c r="D2" s="6"/>
      <c r="E2" s="6"/>
      <c r="F2" s="6"/>
      <c r="G2" s="6"/>
      <c r="H2" s="6"/>
      <c r="K2" s="9"/>
      <c r="L2" s="9"/>
    </row>
    <row r="3" spans="1:14" ht="64.5" thickBot="1">
      <c r="A3" s="10" t="s">
        <v>147</v>
      </c>
      <c r="B3" s="11" t="s">
        <v>148</v>
      </c>
      <c r="C3" s="11" t="s">
        <v>149</v>
      </c>
      <c r="D3" s="11" t="s">
        <v>150</v>
      </c>
      <c r="E3" s="11" t="s">
        <v>151</v>
      </c>
      <c r="F3" s="11" t="s">
        <v>152</v>
      </c>
      <c r="G3" s="11" t="s">
        <v>153</v>
      </c>
      <c r="H3" s="11" t="s">
        <v>154</v>
      </c>
      <c r="I3" s="11" t="s">
        <v>155</v>
      </c>
      <c r="J3" s="11" t="s">
        <v>152</v>
      </c>
      <c r="K3" s="11" t="s">
        <v>153</v>
      </c>
      <c r="L3" s="11" t="s">
        <v>154</v>
      </c>
      <c r="M3" s="11" t="s">
        <v>155</v>
      </c>
      <c r="N3" s="11" t="s">
        <v>156</v>
      </c>
    </row>
    <row r="4" spans="1:14" ht="15">
      <c r="A4" s="12" t="s">
        <v>10</v>
      </c>
      <c r="B4" s="13" t="s">
        <v>157</v>
      </c>
      <c r="C4" s="14">
        <v>11</v>
      </c>
      <c r="D4" s="14">
        <v>138.90908813476563</v>
      </c>
      <c r="E4" s="14">
        <v>1931.9210205078125</v>
      </c>
      <c r="F4" s="15">
        <v>3.4713440508400826</v>
      </c>
      <c r="G4" s="15">
        <v>7.2052800233229233</v>
      </c>
      <c r="H4" s="15">
        <v>6.9121145479207007</v>
      </c>
      <c r="I4" s="15">
        <v>1.6684611811677275</v>
      </c>
      <c r="J4" s="16" t="s">
        <v>158</v>
      </c>
      <c r="K4" s="16" t="s">
        <v>159</v>
      </c>
      <c r="L4" s="16" t="s">
        <v>159</v>
      </c>
      <c r="M4" s="16" t="s">
        <v>158</v>
      </c>
      <c r="N4" s="17">
        <v>-0.28024039415629975</v>
      </c>
    </row>
    <row r="5" spans="1:14" ht="15">
      <c r="A5" s="12" t="s">
        <v>11</v>
      </c>
      <c r="B5" s="13" t="s">
        <v>160</v>
      </c>
      <c r="C5" s="14">
        <v>29</v>
      </c>
      <c r="D5" s="14">
        <v>154.65516662597656</v>
      </c>
      <c r="E5" s="14">
        <v>4553.91357421875</v>
      </c>
      <c r="F5" s="15">
        <v>2.622688883604738</v>
      </c>
      <c r="G5" s="15">
        <v>6.4829651419126781</v>
      </c>
      <c r="H5" s="15">
        <v>5.823695576522824</v>
      </c>
      <c r="I5" s="15">
        <v>2.1388883705861099</v>
      </c>
      <c r="J5" s="16" t="s">
        <v>159</v>
      </c>
      <c r="K5" s="16" t="s">
        <v>159</v>
      </c>
      <c r="L5" s="16" t="s">
        <v>159</v>
      </c>
      <c r="M5" s="16" t="s">
        <v>158</v>
      </c>
      <c r="N5" s="17">
        <v>0.3008104483054127</v>
      </c>
    </row>
    <row r="6" spans="1:14" ht="15">
      <c r="A6" s="12" t="s">
        <v>12</v>
      </c>
      <c r="B6" s="13" t="s">
        <v>160</v>
      </c>
      <c r="C6" s="14">
        <v>36</v>
      </c>
      <c r="D6" s="14">
        <v>124.19444274902344</v>
      </c>
      <c r="E6" s="14">
        <v>2831.24755859375</v>
      </c>
      <c r="F6" s="15">
        <v>3.3938615118334048</v>
      </c>
      <c r="G6" s="15">
        <v>8.0431261266758742</v>
      </c>
      <c r="H6" s="15">
        <v>6.7065957969911691</v>
      </c>
      <c r="I6" s="15">
        <v>1.3945916018039626</v>
      </c>
      <c r="J6" s="16" t="s">
        <v>159</v>
      </c>
      <c r="K6" s="16" t="s">
        <v>159</v>
      </c>
      <c r="L6" s="16" t="s">
        <v>159</v>
      </c>
      <c r="M6" s="16" t="s">
        <v>158</v>
      </c>
      <c r="N6" s="17">
        <v>0.2192601050358049</v>
      </c>
    </row>
    <row r="7" spans="1:14" ht="15">
      <c r="A7" s="12" t="s">
        <v>13</v>
      </c>
      <c r="B7" s="13" t="s">
        <v>161</v>
      </c>
      <c r="C7" s="14">
        <v>14</v>
      </c>
      <c r="D7" s="14">
        <v>224</v>
      </c>
      <c r="E7" s="14">
        <v>6329.7587890625</v>
      </c>
      <c r="F7" s="15">
        <v>3.287018245050878</v>
      </c>
      <c r="G7" s="15">
        <v>9.5930684630586374</v>
      </c>
      <c r="H7" s="15">
        <v>8.9581026949997415</v>
      </c>
      <c r="I7" s="15">
        <v>0.65303476821361317</v>
      </c>
      <c r="J7" s="16" t="s">
        <v>159</v>
      </c>
      <c r="K7" s="16" t="s">
        <v>159</v>
      </c>
      <c r="L7" s="16" t="s">
        <v>158</v>
      </c>
      <c r="M7" s="16" t="s">
        <v>158</v>
      </c>
      <c r="N7" s="17">
        <v>0.2334939457653758</v>
      </c>
    </row>
    <row r="8" spans="1:14" ht="15">
      <c r="A8" s="12" t="s">
        <v>14</v>
      </c>
      <c r="B8" s="13" t="s">
        <v>162</v>
      </c>
      <c r="C8" s="14">
        <v>54</v>
      </c>
      <c r="D8" s="14">
        <v>149.55555725097656</v>
      </c>
      <c r="E8" s="14">
        <v>5865.54296875</v>
      </c>
      <c r="F8" s="15">
        <v>3.55266337535235</v>
      </c>
      <c r="G8" s="15">
        <v>7.3784474972885841</v>
      </c>
      <c r="H8" s="15">
        <v>6.0661103531311955</v>
      </c>
      <c r="I8" s="15">
        <v>1.7569997589142632</v>
      </c>
      <c r="J8" s="16" t="s">
        <v>163</v>
      </c>
      <c r="K8" s="16" t="s">
        <v>163</v>
      </c>
      <c r="L8" s="16" t="s">
        <v>163</v>
      </c>
      <c r="M8" s="16" t="s">
        <v>158</v>
      </c>
      <c r="N8" s="17">
        <v>-0.24265996217810759</v>
      </c>
    </row>
    <row r="9" spans="1:14" ht="15">
      <c r="A9" s="12" t="s">
        <v>15</v>
      </c>
      <c r="B9" s="13" t="s">
        <v>161</v>
      </c>
      <c r="C9" s="14">
        <v>27</v>
      </c>
      <c r="D9" s="14">
        <v>167.1851806640625</v>
      </c>
      <c r="E9" s="14">
        <v>8288.2509765625</v>
      </c>
      <c r="F9" s="15">
        <v>5.0814779155069756</v>
      </c>
      <c r="G9" s="15">
        <v>12.917650982682215</v>
      </c>
      <c r="H9" s="15">
        <v>11.255053169662519</v>
      </c>
      <c r="I9" s="15">
        <v>1.6626768537331047</v>
      </c>
      <c r="J9" s="16" t="s">
        <v>159</v>
      </c>
      <c r="K9" s="16" t="s">
        <v>159</v>
      </c>
      <c r="L9" s="16" t="s">
        <v>159</v>
      </c>
      <c r="M9" s="16" t="s">
        <v>158</v>
      </c>
      <c r="N9" s="17">
        <v>0.84847798487310688</v>
      </c>
    </row>
    <row r="10" spans="1:14" ht="15">
      <c r="A10" s="12" t="s">
        <v>16</v>
      </c>
      <c r="B10" s="13"/>
      <c r="C10" s="14">
        <v>1453</v>
      </c>
      <c r="D10" s="14" t="s">
        <v>164</v>
      </c>
      <c r="E10" s="14" t="s">
        <v>164</v>
      </c>
      <c r="F10" s="15"/>
      <c r="G10" s="15"/>
      <c r="H10" s="15"/>
      <c r="I10" s="15"/>
      <c r="J10" s="16" t="s">
        <v>164</v>
      </c>
      <c r="K10" s="16" t="s">
        <v>164</v>
      </c>
      <c r="L10" s="16" t="s">
        <v>164</v>
      </c>
      <c r="M10" s="16" t="s">
        <v>164</v>
      </c>
      <c r="N10" s="17"/>
    </row>
    <row r="11" spans="1:14" ht="15">
      <c r="A11" s="12" t="s">
        <v>17</v>
      </c>
      <c r="B11" s="13" t="s">
        <v>165</v>
      </c>
      <c r="C11" s="14">
        <v>31</v>
      </c>
      <c r="D11" s="14">
        <v>162.32258605957031</v>
      </c>
      <c r="E11" s="14">
        <v>5381.28369140625</v>
      </c>
      <c r="F11" s="15">
        <v>2.7202502329313405</v>
      </c>
      <c r="G11" s="15">
        <v>7.1209203960319432</v>
      </c>
      <c r="H11" s="15">
        <v>6.281154907283808</v>
      </c>
      <c r="I11" s="15">
        <v>0.9720683782720495</v>
      </c>
      <c r="J11" s="16" t="s">
        <v>158</v>
      </c>
      <c r="K11" s="16" t="s">
        <v>158</v>
      </c>
      <c r="L11" s="16" t="s">
        <v>158</v>
      </c>
      <c r="M11" s="16" t="s">
        <v>158</v>
      </c>
      <c r="N11" s="17">
        <v>-0.36018895413958568</v>
      </c>
    </row>
    <row r="12" spans="1:14" ht="15">
      <c r="A12" s="12" t="s">
        <v>18</v>
      </c>
      <c r="B12" s="13" t="s">
        <v>166</v>
      </c>
      <c r="C12" s="14">
        <v>48</v>
      </c>
      <c r="D12" s="14">
        <v>12.895833015441895</v>
      </c>
      <c r="E12" s="14">
        <v>83.107803344726563</v>
      </c>
      <c r="F12" s="15">
        <v>0.98618524970952381</v>
      </c>
      <c r="G12" s="15">
        <v>2.4078318942269874</v>
      </c>
      <c r="H12" s="15">
        <v>3.9839049176769339</v>
      </c>
      <c r="I12" s="15">
        <v>-1.3964116333404508</v>
      </c>
      <c r="J12" s="16" t="s">
        <v>158</v>
      </c>
      <c r="K12" s="16" t="s">
        <v>158</v>
      </c>
      <c r="L12" s="16" t="s">
        <v>158</v>
      </c>
      <c r="M12" s="16" t="s">
        <v>158</v>
      </c>
      <c r="N12" s="17">
        <v>-0.97227878376722632</v>
      </c>
    </row>
    <row r="13" spans="1:14" ht="15">
      <c r="A13" s="12" t="s">
        <v>19</v>
      </c>
      <c r="B13" s="13" t="s">
        <v>167</v>
      </c>
      <c r="C13" s="14">
        <v>1492</v>
      </c>
      <c r="D13" s="14">
        <v>18.321044921875</v>
      </c>
      <c r="E13" s="14">
        <v>1585.906005859375</v>
      </c>
      <c r="F13" s="15">
        <v>1.6030943940493534</v>
      </c>
      <c r="G13" s="15">
        <v>5.218133174857587</v>
      </c>
      <c r="H13" s="15">
        <v>6.5975589617040269</v>
      </c>
      <c r="I13" s="15">
        <v>-0.11349867979835582</v>
      </c>
      <c r="J13" s="16" t="s">
        <v>163</v>
      </c>
      <c r="K13" s="16" t="s">
        <v>159</v>
      </c>
      <c r="L13" s="16" t="s">
        <v>159</v>
      </c>
      <c r="M13" s="16" t="s">
        <v>158</v>
      </c>
      <c r="N13" s="17">
        <v>-9.8067645342419685E-2</v>
      </c>
    </row>
    <row r="14" spans="1:14" ht="15">
      <c r="A14" s="12" t="s">
        <v>20</v>
      </c>
      <c r="B14" s="13" t="s">
        <v>168</v>
      </c>
      <c r="C14" s="14">
        <v>7</v>
      </c>
      <c r="D14" s="14">
        <v>254.71427917480469</v>
      </c>
      <c r="E14" s="14">
        <v>4485.6904296875</v>
      </c>
      <c r="F14" s="15">
        <v>1.698740415545378</v>
      </c>
      <c r="G14" s="15">
        <v>3.7537144492662557</v>
      </c>
      <c r="H14" s="15">
        <v>4.2060599081872256</v>
      </c>
      <c r="I14" s="15">
        <v>-0.33787597944049957</v>
      </c>
      <c r="J14" s="16" t="s">
        <v>163</v>
      </c>
      <c r="K14" s="16" t="s">
        <v>163</v>
      </c>
      <c r="L14" s="16" t="s">
        <v>163</v>
      </c>
      <c r="M14" s="16" t="s">
        <v>158</v>
      </c>
      <c r="N14" s="17">
        <v>-0.58625214777702728</v>
      </c>
    </row>
    <row r="15" spans="1:14" ht="15">
      <c r="A15" s="12" t="s">
        <v>21</v>
      </c>
      <c r="B15" s="13" t="s">
        <v>166</v>
      </c>
      <c r="C15" s="14">
        <v>14</v>
      </c>
      <c r="D15" s="14">
        <v>66.928573608398438</v>
      </c>
      <c r="E15" s="14">
        <v>358.70660400390625</v>
      </c>
      <c r="F15" s="15">
        <v>1.9644930464613135</v>
      </c>
      <c r="G15" s="15">
        <v>3.7640112852213914</v>
      </c>
      <c r="H15" s="15">
        <v>6.4253402338508714</v>
      </c>
      <c r="I15" s="15">
        <v>-2.6613289486294804</v>
      </c>
      <c r="J15" s="16" t="s">
        <v>158</v>
      </c>
      <c r="K15" s="16" t="s">
        <v>158</v>
      </c>
      <c r="L15" s="16" t="s">
        <v>163</v>
      </c>
      <c r="M15" s="16" t="s">
        <v>158</v>
      </c>
      <c r="N15" s="17">
        <v>-6.1895357503790813E-2</v>
      </c>
    </row>
    <row r="16" spans="1:14" ht="15">
      <c r="A16" s="12" t="s">
        <v>22</v>
      </c>
      <c r="B16" s="13" t="s">
        <v>160</v>
      </c>
      <c r="C16" s="14">
        <v>72</v>
      </c>
      <c r="D16" s="14">
        <v>204.80555725097656</v>
      </c>
      <c r="E16" s="14">
        <v>21508.22265625</v>
      </c>
      <c r="F16" s="15">
        <v>3.2794883166935294</v>
      </c>
      <c r="G16" s="15">
        <v>8.7006149205721872</v>
      </c>
      <c r="H16" s="15">
        <v>8.0108143289118328</v>
      </c>
      <c r="I16" s="15">
        <v>1.1041251550681201</v>
      </c>
      <c r="J16" s="16" t="s">
        <v>159</v>
      </c>
      <c r="K16" s="16" t="s">
        <v>159</v>
      </c>
      <c r="L16" s="16" t="s">
        <v>159</v>
      </c>
      <c r="M16" s="16" t="s">
        <v>158</v>
      </c>
      <c r="N16" s="17">
        <v>0.19311946251691062</v>
      </c>
    </row>
    <row r="17" spans="1:14" ht="15">
      <c r="A17" s="12" t="s">
        <v>23</v>
      </c>
      <c r="B17" s="13" t="s">
        <v>160</v>
      </c>
      <c r="C17" s="14">
        <v>65</v>
      </c>
      <c r="D17" s="14">
        <v>124.69230651855469</v>
      </c>
      <c r="E17" s="14">
        <v>5129.2490234375</v>
      </c>
      <c r="F17" s="15">
        <v>3.3926317816088818</v>
      </c>
      <c r="G17" s="15">
        <v>8.7322630742999703</v>
      </c>
      <c r="H17" s="15">
        <v>9.0994520719912035</v>
      </c>
      <c r="I17" s="15">
        <v>-0.1681574915683198</v>
      </c>
      <c r="J17" s="16" t="s">
        <v>159</v>
      </c>
      <c r="K17" s="16" t="s">
        <v>159</v>
      </c>
      <c r="L17" s="16" t="s">
        <v>163</v>
      </c>
      <c r="M17" s="16" t="s">
        <v>158</v>
      </c>
      <c r="N17" s="17">
        <v>-0.16777354813896195</v>
      </c>
    </row>
    <row r="18" spans="1:14" ht="15">
      <c r="A18" s="12" t="s">
        <v>24</v>
      </c>
      <c r="B18" s="13" t="s">
        <v>157</v>
      </c>
      <c r="C18" s="14">
        <v>42</v>
      </c>
      <c r="D18" s="14">
        <v>217.30952453613281</v>
      </c>
      <c r="E18" s="14">
        <v>46166.015625</v>
      </c>
      <c r="F18" s="15">
        <v>5.9371070047913292</v>
      </c>
      <c r="G18" s="15">
        <v>12.468457167008864</v>
      </c>
      <c r="H18" s="15">
        <v>10.825882714553178</v>
      </c>
      <c r="I18" s="15">
        <v>2.3699474651832779</v>
      </c>
      <c r="J18" s="16" t="s">
        <v>159</v>
      </c>
      <c r="K18" s="16" t="s">
        <v>159</v>
      </c>
      <c r="L18" s="16" t="s">
        <v>159</v>
      </c>
      <c r="M18" s="16" t="s">
        <v>158</v>
      </c>
      <c r="N18" s="17">
        <v>0.27716789554204363</v>
      </c>
    </row>
    <row r="19" spans="1:14" ht="15">
      <c r="A19" s="12" t="s">
        <v>25</v>
      </c>
      <c r="B19" s="13" t="s">
        <v>157</v>
      </c>
      <c r="C19" s="14">
        <v>23</v>
      </c>
      <c r="D19" s="14">
        <v>229.56521606445313</v>
      </c>
      <c r="E19" s="14">
        <v>26012.4765625</v>
      </c>
      <c r="F19" s="15">
        <v>9.3298584197246246</v>
      </c>
      <c r="G19" s="15">
        <v>18.076371583186503</v>
      </c>
      <c r="H19" s="15">
        <v>15.85812261811289</v>
      </c>
      <c r="I19" s="15">
        <v>2.2732130896235003</v>
      </c>
      <c r="J19" s="16" t="s">
        <v>159</v>
      </c>
      <c r="K19" s="16" t="s">
        <v>159</v>
      </c>
      <c r="L19" s="16" t="s">
        <v>159</v>
      </c>
      <c r="M19" s="16" t="s">
        <v>158</v>
      </c>
      <c r="N19" s="17">
        <v>0.33639303157338069</v>
      </c>
    </row>
    <row r="20" spans="1:14" ht="15">
      <c r="A20" s="12" t="s">
        <v>26</v>
      </c>
      <c r="B20" s="13" t="s">
        <v>157</v>
      </c>
      <c r="C20" s="14">
        <v>14</v>
      </c>
      <c r="D20" s="14">
        <v>196.42857360839844</v>
      </c>
      <c r="E20" s="14">
        <v>13188.7509765625</v>
      </c>
      <c r="F20" s="15">
        <v>7.8429870538179509</v>
      </c>
      <c r="G20" s="15">
        <v>15.124912566887875</v>
      </c>
      <c r="H20" s="15">
        <v>13.841520662963159</v>
      </c>
      <c r="I20" s="15">
        <v>1.8954727306904045</v>
      </c>
      <c r="J20" s="16" t="s">
        <v>163</v>
      </c>
      <c r="K20" s="16" t="s">
        <v>159</v>
      </c>
      <c r="L20" s="16" t="s">
        <v>159</v>
      </c>
      <c r="M20" s="16" t="s">
        <v>158</v>
      </c>
      <c r="N20" s="17">
        <v>-0.45385324818198303</v>
      </c>
    </row>
    <row r="21" spans="1:14" ht="15">
      <c r="A21" s="12" t="s">
        <v>27</v>
      </c>
      <c r="B21" s="13" t="s">
        <v>161</v>
      </c>
      <c r="C21" s="14">
        <v>26</v>
      </c>
      <c r="D21" s="14">
        <v>214.26922607421875</v>
      </c>
      <c r="E21" s="14">
        <v>14345.38671875</v>
      </c>
      <c r="F21" s="15">
        <v>5.354059145631795</v>
      </c>
      <c r="G21" s="15">
        <v>13.867122100860035</v>
      </c>
      <c r="H21" s="15">
        <v>11.080458971045825</v>
      </c>
      <c r="I21" s="15">
        <v>3.1848723594525694</v>
      </c>
      <c r="J21" s="16" t="s">
        <v>159</v>
      </c>
      <c r="K21" s="16" t="s">
        <v>159</v>
      </c>
      <c r="L21" s="16" t="s">
        <v>159</v>
      </c>
      <c r="M21" s="16" t="s">
        <v>158</v>
      </c>
      <c r="N21" s="17">
        <v>0.12047153101363785</v>
      </c>
    </row>
    <row r="22" spans="1:14" ht="15">
      <c r="A22" s="12" t="s">
        <v>28</v>
      </c>
      <c r="B22" s="13" t="s">
        <v>169</v>
      </c>
      <c r="C22" s="14">
        <v>18</v>
      </c>
      <c r="D22" s="14">
        <v>141.83332824707031</v>
      </c>
      <c r="E22" s="14">
        <v>2092.739501953125</v>
      </c>
      <c r="F22" s="15">
        <v>3.7099456485360918</v>
      </c>
      <c r="G22" s="15">
        <v>11.310246966101634</v>
      </c>
      <c r="H22" s="15">
        <v>10.740870134478863</v>
      </c>
      <c r="I22" s="15">
        <v>1.7625972580706077</v>
      </c>
      <c r="J22" s="16" t="s">
        <v>158</v>
      </c>
      <c r="K22" s="16" t="s">
        <v>159</v>
      </c>
      <c r="L22" s="16" t="s">
        <v>158</v>
      </c>
      <c r="M22" s="16" t="s">
        <v>158</v>
      </c>
      <c r="N22" s="17">
        <v>-0.19546410585954516</v>
      </c>
    </row>
    <row r="23" spans="1:14" ht="15">
      <c r="A23" s="12" t="s">
        <v>29</v>
      </c>
      <c r="B23" s="13" t="s">
        <v>170</v>
      </c>
      <c r="C23" s="14">
        <v>181</v>
      </c>
      <c r="D23" s="14">
        <v>156.4254150390625</v>
      </c>
      <c r="E23" s="14">
        <v>10108.251953125</v>
      </c>
      <c r="F23" s="15">
        <v>2.4065377888311468</v>
      </c>
      <c r="G23" s="15">
        <v>8.1268731911100165</v>
      </c>
      <c r="H23" s="15">
        <v>5.3881684118867543</v>
      </c>
      <c r="I23" s="15">
        <v>2.9287146272268472</v>
      </c>
      <c r="J23" s="16" t="s">
        <v>159</v>
      </c>
      <c r="K23" s="16" t="s">
        <v>159</v>
      </c>
      <c r="L23" s="16" t="s">
        <v>159</v>
      </c>
      <c r="M23" s="16" t="s">
        <v>159</v>
      </c>
      <c r="N23" s="17">
        <v>6.4356261159329062E-2</v>
      </c>
    </row>
    <row r="24" spans="1:14" ht="15">
      <c r="A24" s="12" t="s">
        <v>30</v>
      </c>
      <c r="B24" s="13" t="s">
        <v>170</v>
      </c>
      <c r="C24" s="14">
        <v>105</v>
      </c>
      <c r="D24" s="14">
        <v>188.5238037109375</v>
      </c>
      <c r="E24" s="14">
        <v>24730.13671875</v>
      </c>
      <c r="F24" s="15">
        <v>5.0689963971070595</v>
      </c>
      <c r="G24" s="15">
        <v>12.411530568914159</v>
      </c>
      <c r="H24" s="15">
        <v>9.8617295096734701</v>
      </c>
      <c r="I24" s="15">
        <v>2.9400981794736785</v>
      </c>
      <c r="J24" s="16" t="s">
        <v>159</v>
      </c>
      <c r="K24" s="16" t="s">
        <v>159</v>
      </c>
      <c r="L24" s="16" t="s">
        <v>159</v>
      </c>
      <c r="M24" s="16" t="s">
        <v>159</v>
      </c>
      <c r="N24" s="17">
        <v>9.9222173220250062E-3</v>
      </c>
    </row>
    <row r="25" spans="1:14" ht="15">
      <c r="A25" s="12" t="s">
        <v>31</v>
      </c>
      <c r="B25" s="13" t="s">
        <v>171</v>
      </c>
      <c r="C25" s="14">
        <v>26</v>
      </c>
      <c r="D25" s="14">
        <v>201.42308044433594</v>
      </c>
      <c r="E25" s="14">
        <v>7256.64990234375</v>
      </c>
      <c r="F25" s="15">
        <v>2.1976702864663302</v>
      </c>
      <c r="G25" s="15">
        <v>7.9539681414814289</v>
      </c>
      <c r="H25" s="15">
        <v>7.2833058984975425</v>
      </c>
      <c r="I25" s="15">
        <v>0.67069241194812557</v>
      </c>
      <c r="J25" s="16" t="s">
        <v>159</v>
      </c>
      <c r="K25" s="16" t="s">
        <v>159</v>
      </c>
      <c r="L25" s="16" t="s">
        <v>159</v>
      </c>
      <c r="M25" s="16" t="s">
        <v>158</v>
      </c>
      <c r="N25" s="17">
        <v>8.4752556344290034E-2</v>
      </c>
    </row>
    <row r="26" spans="1:14" ht="15">
      <c r="A26" s="12" t="s">
        <v>32</v>
      </c>
      <c r="B26" s="13" t="s">
        <v>171</v>
      </c>
      <c r="C26" s="14">
        <v>22</v>
      </c>
      <c r="D26" s="14">
        <v>224.40908813476563</v>
      </c>
      <c r="E26" s="14">
        <v>4590.57666015625</v>
      </c>
      <c r="F26" s="15">
        <v>4.2545362521853063</v>
      </c>
      <c r="G26" s="15">
        <v>15.141328427097395</v>
      </c>
      <c r="H26" s="15">
        <v>11.629219552067031</v>
      </c>
      <c r="I26" s="15">
        <v>3.5841738846477029</v>
      </c>
      <c r="J26" s="16" t="s">
        <v>159</v>
      </c>
      <c r="K26" s="16" t="s">
        <v>159</v>
      </c>
      <c r="L26" s="16" t="s">
        <v>163</v>
      </c>
      <c r="M26" s="16" t="s">
        <v>158</v>
      </c>
      <c r="N26" s="17">
        <v>0.12178574591717867</v>
      </c>
    </row>
    <row r="27" spans="1:14" ht="15">
      <c r="A27" s="12" t="s">
        <v>33</v>
      </c>
      <c r="B27" s="13" t="s">
        <v>172</v>
      </c>
      <c r="C27" s="14">
        <v>76</v>
      </c>
      <c r="D27" s="14">
        <v>170.19737243652344</v>
      </c>
      <c r="E27" s="14">
        <v>18650.982421875</v>
      </c>
      <c r="F27" s="15">
        <v>3.5218869500811403</v>
      </c>
      <c r="G27" s="15">
        <v>7.523267169211719</v>
      </c>
      <c r="H27" s="15">
        <v>6.5844723265734091</v>
      </c>
      <c r="I27" s="15">
        <v>1.1797307900071914</v>
      </c>
      <c r="J27" s="16" t="s">
        <v>158</v>
      </c>
      <c r="K27" s="16" t="s">
        <v>163</v>
      </c>
      <c r="L27" s="16" t="s">
        <v>159</v>
      </c>
      <c r="M27" s="16" t="s">
        <v>158</v>
      </c>
      <c r="N27" s="17">
        <v>-0.16600135453095205</v>
      </c>
    </row>
    <row r="28" spans="1:14" ht="15">
      <c r="A28" s="12" t="s">
        <v>34</v>
      </c>
      <c r="B28" s="13" t="s">
        <v>172</v>
      </c>
      <c r="C28" s="14">
        <v>188</v>
      </c>
      <c r="D28" s="14">
        <v>99.531913757324219</v>
      </c>
      <c r="E28" s="14">
        <v>18919.126953125</v>
      </c>
      <c r="F28" s="15">
        <v>6.5050459562438174</v>
      </c>
      <c r="G28" s="15">
        <v>11.682031854183347</v>
      </c>
      <c r="H28" s="15">
        <v>10.347010609497044</v>
      </c>
      <c r="I28" s="15">
        <v>1.822052166816601</v>
      </c>
      <c r="J28" s="16" t="s">
        <v>163</v>
      </c>
      <c r="K28" s="16" t="s">
        <v>159</v>
      </c>
      <c r="L28" s="16" t="s">
        <v>159</v>
      </c>
      <c r="M28" s="16" t="s">
        <v>158</v>
      </c>
      <c r="N28" s="17">
        <v>0.27379835264280594</v>
      </c>
    </row>
    <row r="29" spans="1:14" ht="15">
      <c r="A29" s="12" t="s">
        <v>35</v>
      </c>
      <c r="B29" s="13" t="s">
        <v>160</v>
      </c>
      <c r="C29" s="14">
        <v>167</v>
      </c>
      <c r="D29" s="14">
        <v>93.820358276367188</v>
      </c>
      <c r="E29" s="14">
        <v>5329.63037109375</v>
      </c>
      <c r="F29" s="15">
        <v>2.8374197024033405</v>
      </c>
      <c r="G29" s="15">
        <v>7.8400308123278482</v>
      </c>
      <c r="H29" s="15">
        <v>6.720745436410156</v>
      </c>
      <c r="I29" s="15">
        <v>1.4302346661609999</v>
      </c>
      <c r="J29" s="16" t="s">
        <v>159</v>
      </c>
      <c r="K29" s="16" t="s">
        <v>159</v>
      </c>
      <c r="L29" s="16" t="s">
        <v>159</v>
      </c>
      <c r="M29" s="16" t="s">
        <v>158</v>
      </c>
      <c r="N29" s="17">
        <v>0.17004699652043789</v>
      </c>
    </row>
    <row r="30" spans="1:14" ht="15">
      <c r="A30" s="12" t="s">
        <v>36</v>
      </c>
      <c r="B30" s="13" t="s">
        <v>171</v>
      </c>
      <c r="C30" s="14">
        <v>203</v>
      </c>
      <c r="D30" s="14">
        <v>69.679801940917969</v>
      </c>
      <c r="E30" s="14">
        <v>2763.284423828125</v>
      </c>
      <c r="F30" s="15">
        <v>2.6046606473072682</v>
      </c>
      <c r="G30" s="15">
        <v>8.177953428315428</v>
      </c>
      <c r="H30" s="15">
        <v>5.367360019134698</v>
      </c>
      <c r="I30" s="15">
        <v>3.0521725075141992</v>
      </c>
      <c r="J30" s="16" t="s">
        <v>163</v>
      </c>
      <c r="K30" s="16" t="s">
        <v>159</v>
      </c>
      <c r="L30" s="16" t="s">
        <v>159</v>
      </c>
      <c r="M30" s="16" t="s">
        <v>159</v>
      </c>
      <c r="N30" s="17">
        <v>0.35423438222401304</v>
      </c>
    </row>
    <row r="31" spans="1:14" ht="15">
      <c r="A31" s="12" t="s">
        <v>37</v>
      </c>
      <c r="B31" s="13" t="s">
        <v>167</v>
      </c>
      <c r="C31" s="14">
        <v>1220</v>
      </c>
      <c r="D31" s="14">
        <v>86.047538757324219</v>
      </c>
      <c r="E31" s="14">
        <v>25540.306640625</v>
      </c>
      <c r="F31" s="15">
        <v>2.7999837222470023</v>
      </c>
      <c r="G31" s="15">
        <v>10.242061191289883</v>
      </c>
      <c r="H31" s="15">
        <v>8.1597581618971908</v>
      </c>
      <c r="I31" s="15">
        <v>2.5597660966895264</v>
      </c>
      <c r="J31" s="16" t="s">
        <v>159</v>
      </c>
      <c r="K31" s="16" t="s">
        <v>158</v>
      </c>
      <c r="L31" s="16" t="s">
        <v>159</v>
      </c>
      <c r="M31" s="16" t="s">
        <v>158</v>
      </c>
      <c r="N31" s="17">
        <v>0.22352469276073941</v>
      </c>
    </row>
    <row r="32" spans="1:14" ht="15">
      <c r="A32" s="12" t="s">
        <v>38</v>
      </c>
      <c r="B32" s="13" t="s">
        <v>173</v>
      </c>
      <c r="C32" s="14">
        <v>198</v>
      </c>
      <c r="D32" s="14">
        <v>61.570705413818359</v>
      </c>
      <c r="E32" s="14">
        <v>2337.367919921875</v>
      </c>
      <c r="F32" s="15">
        <v>3.0076961558818702</v>
      </c>
      <c r="G32" s="15">
        <v>12.855215662544632</v>
      </c>
      <c r="H32" s="15">
        <v>9.22163821102356</v>
      </c>
      <c r="I32" s="15">
        <v>3.8661933922131406</v>
      </c>
      <c r="J32" s="16" t="s">
        <v>159</v>
      </c>
      <c r="K32" s="16" t="s">
        <v>159</v>
      </c>
      <c r="L32" s="16" t="s">
        <v>158</v>
      </c>
      <c r="M32" s="16" t="s">
        <v>158</v>
      </c>
      <c r="N32" s="17">
        <v>0.25845522030645685</v>
      </c>
    </row>
    <row r="33" spans="1:14" ht="15">
      <c r="A33" s="12" t="s">
        <v>39</v>
      </c>
      <c r="B33" s="13" t="s">
        <v>160</v>
      </c>
      <c r="C33" s="14">
        <v>25</v>
      </c>
      <c r="D33" s="14">
        <v>177.52000427246094</v>
      </c>
      <c r="E33" s="14">
        <v>3611.419189453125</v>
      </c>
      <c r="F33" s="15">
        <v>2.5297418255753339</v>
      </c>
      <c r="G33" s="15">
        <v>7.2724481238105794</v>
      </c>
      <c r="H33" s="15">
        <v>6.5600084755849792</v>
      </c>
      <c r="I33" s="15">
        <v>0.93763850638165713</v>
      </c>
      <c r="J33" s="16" t="s">
        <v>163</v>
      </c>
      <c r="K33" s="16" t="s">
        <v>159</v>
      </c>
      <c r="L33" s="16" t="s">
        <v>159</v>
      </c>
      <c r="M33" s="16" t="s">
        <v>158</v>
      </c>
      <c r="N33" s="17">
        <v>1.1959116447914399E-2</v>
      </c>
    </row>
    <row r="34" spans="1:14" ht="15">
      <c r="A34" s="12" t="s">
        <v>40</v>
      </c>
      <c r="B34" s="13" t="s">
        <v>160</v>
      </c>
      <c r="C34" s="14">
        <v>60</v>
      </c>
      <c r="D34" s="14">
        <v>162.88333129882813</v>
      </c>
      <c r="E34" s="14">
        <v>4350.76318359375</v>
      </c>
      <c r="F34" s="15">
        <v>2.5658788375863795</v>
      </c>
      <c r="G34" s="15">
        <v>7.5350431215960727</v>
      </c>
      <c r="H34" s="15">
        <v>6.5740239401261258</v>
      </c>
      <c r="I34" s="15">
        <v>0.99323402709568298</v>
      </c>
      <c r="J34" s="16" t="s">
        <v>159</v>
      </c>
      <c r="K34" s="16" t="s">
        <v>159</v>
      </c>
      <c r="L34" s="16" t="s">
        <v>159</v>
      </c>
      <c r="M34" s="16" t="s">
        <v>158</v>
      </c>
      <c r="N34" s="17">
        <v>2.6621285816796514E-2</v>
      </c>
    </row>
  </sheetData>
  <mergeCells count="1">
    <mergeCell ref="M1:N1"/>
  </mergeCells>
  <hyperlinks>
    <hyperlink ref="M1:N1" location="Home_page" display="Back to_x000a_home page" xr:uid="{37F6CBB8-F7F5-4F62-B9A5-59698404591C}"/>
  </hyperlinks>
  <pageMargins left="0.7" right="0.7" top="0.75" bottom="0.75" header="0.3" footer="0.3"/>
  <pageSetup paperSize="9" scale="74"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B0EDA-1A51-419B-B455-7F949F20AAA0}">
  <sheetPr codeName="Feuil5">
    <pageSetUpPr fitToPage="1"/>
  </sheetPr>
  <dimension ref="A1:N34"/>
  <sheetViews>
    <sheetView topLeftCell="A10" workbookViewId="0">
      <selection activeCell="A14" sqref="A14:XFD14"/>
    </sheetView>
  </sheetViews>
  <sheetFormatPr defaultColWidth="8.75" defaultRowHeight="12.75"/>
  <cols>
    <col min="1" max="1" width="26.25" style="18" customWidth="1"/>
    <col min="2" max="2" width="12.25" style="7" customWidth="1"/>
    <col min="3" max="3" width="8.75" style="7"/>
    <col min="4" max="14" width="10.25" style="7" customWidth="1"/>
    <col min="15" max="16384" width="8.75" style="2"/>
  </cols>
  <sheetData>
    <row r="1" spans="1:14" ht="32.25" customHeight="1">
      <c r="A1" s="5" t="s">
        <v>145</v>
      </c>
      <c r="B1" s="6"/>
      <c r="C1" s="6"/>
      <c r="D1" s="6"/>
      <c r="E1" s="6"/>
      <c r="F1" s="6"/>
      <c r="G1" s="6"/>
      <c r="H1" s="6"/>
      <c r="M1" s="165" t="s">
        <v>42</v>
      </c>
      <c r="N1" s="165"/>
    </row>
    <row r="2" spans="1:14">
      <c r="A2" s="8" t="s">
        <v>174</v>
      </c>
      <c r="B2" s="6"/>
      <c r="C2" s="6"/>
      <c r="D2" s="6"/>
      <c r="E2" s="6"/>
      <c r="F2" s="6"/>
      <c r="G2" s="6"/>
      <c r="H2" s="6"/>
      <c r="K2" s="9"/>
      <c r="L2" s="9"/>
    </row>
    <row r="3" spans="1:14" ht="64.5" thickBot="1">
      <c r="A3" s="10" t="s">
        <v>147</v>
      </c>
      <c r="B3" s="11" t="s">
        <v>148</v>
      </c>
      <c r="C3" s="11" t="s">
        <v>149</v>
      </c>
      <c r="D3" s="11" t="s">
        <v>150</v>
      </c>
      <c r="E3" s="11" t="s">
        <v>151</v>
      </c>
      <c r="F3" s="11" t="s">
        <v>152</v>
      </c>
      <c r="G3" s="11" t="s">
        <v>153</v>
      </c>
      <c r="H3" s="11" t="s">
        <v>154</v>
      </c>
      <c r="I3" s="11" t="s">
        <v>155</v>
      </c>
      <c r="J3" s="11" t="s">
        <v>152</v>
      </c>
      <c r="K3" s="11" t="s">
        <v>153</v>
      </c>
      <c r="L3" s="11" t="s">
        <v>154</v>
      </c>
      <c r="M3" s="11" t="s">
        <v>155</v>
      </c>
      <c r="N3" s="11" t="s">
        <v>175</v>
      </c>
    </row>
    <row r="4" spans="1:14" ht="15">
      <c r="A4" s="12" t="s">
        <v>10</v>
      </c>
      <c r="B4" s="13" t="s">
        <v>157</v>
      </c>
      <c r="C4" s="14">
        <v>7</v>
      </c>
      <c r="D4" s="14">
        <v>104.42857360839844</v>
      </c>
      <c r="E4" s="14">
        <v>716.00537109375</v>
      </c>
      <c r="F4" s="15">
        <v>2.6434324748556652</v>
      </c>
      <c r="G4" s="15">
        <v>4.2510756818473201</v>
      </c>
      <c r="H4" s="15">
        <v>5.5607407925247907</v>
      </c>
      <c r="I4" s="15">
        <v>-0.24504020872599011</v>
      </c>
      <c r="J4" s="16" t="s">
        <v>158</v>
      </c>
      <c r="K4" s="16" t="s">
        <v>158</v>
      </c>
      <c r="L4" s="16" t="s">
        <v>159</v>
      </c>
      <c r="M4" s="16" t="s">
        <v>158</v>
      </c>
      <c r="N4" s="17">
        <v>-0.16784765073055144</v>
      </c>
    </row>
    <row r="5" spans="1:14" ht="15">
      <c r="A5" s="12" t="s">
        <v>11</v>
      </c>
      <c r="B5" s="13" t="s">
        <v>160</v>
      </c>
      <c r="C5" s="14">
        <v>25</v>
      </c>
      <c r="D5" s="14">
        <v>125.36000061035156</v>
      </c>
      <c r="E5" s="14">
        <v>3628.15283203125</v>
      </c>
      <c r="F5" s="15">
        <v>2.937787432266024</v>
      </c>
      <c r="G5" s="15">
        <v>5.1105326920836998</v>
      </c>
      <c r="H5" s="15">
        <v>5.34307680422231</v>
      </c>
      <c r="I5" s="15">
        <v>1.5707458334417308</v>
      </c>
      <c r="J5" s="16" t="s">
        <v>159</v>
      </c>
      <c r="K5" s="16" t="s">
        <v>163</v>
      </c>
      <c r="L5" s="16" t="s">
        <v>159</v>
      </c>
      <c r="M5" s="16" t="s">
        <v>158</v>
      </c>
      <c r="N5" s="17">
        <v>9.7667717822874894E-2</v>
      </c>
    </row>
    <row r="6" spans="1:14" ht="15">
      <c r="A6" s="12" t="s">
        <v>12</v>
      </c>
      <c r="B6" s="13" t="s">
        <v>160</v>
      </c>
      <c r="C6" s="14">
        <v>31</v>
      </c>
      <c r="D6" s="14">
        <v>103.93548583984375</v>
      </c>
      <c r="E6" s="14">
        <v>2252.161865234375</v>
      </c>
      <c r="F6" s="15">
        <v>3.8413850854183398</v>
      </c>
      <c r="G6" s="15">
        <v>6.7647210510960969</v>
      </c>
      <c r="H6" s="15">
        <v>6.4566796702544869</v>
      </c>
      <c r="I6" s="15">
        <v>1.3089558489036452</v>
      </c>
      <c r="J6" s="16" t="s">
        <v>159</v>
      </c>
      <c r="K6" s="16" t="s">
        <v>163</v>
      </c>
      <c r="L6" s="16" t="s">
        <v>159</v>
      </c>
      <c r="M6" s="16" t="s">
        <v>158</v>
      </c>
      <c r="N6" s="17">
        <v>0.14360234096256758</v>
      </c>
    </row>
    <row r="7" spans="1:14" ht="15">
      <c r="A7" s="12" t="s">
        <v>13</v>
      </c>
      <c r="B7" s="13" t="s">
        <v>161</v>
      </c>
      <c r="C7" s="14">
        <v>12</v>
      </c>
      <c r="D7" s="14">
        <v>274.41665649414063</v>
      </c>
      <c r="E7" s="14">
        <v>6248.59765625</v>
      </c>
      <c r="F7" s="15">
        <v>3.1362995361500929</v>
      </c>
      <c r="G7" s="15">
        <v>7.7012275063898414</v>
      </c>
      <c r="H7" s="15">
        <v>7.4772151014069363</v>
      </c>
      <c r="I7" s="15">
        <v>0.28194426498169417</v>
      </c>
      <c r="J7" s="16" t="s">
        <v>163</v>
      </c>
      <c r="K7" s="16" t="s">
        <v>163</v>
      </c>
      <c r="L7" s="16" t="s">
        <v>158</v>
      </c>
      <c r="M7" s="16" t="s">
        <v>158</v>
      </c>
      <c r="N7" s="17">
        <v>7.5858968036476473E-2</v>
      </c>
    </row>
    <row r="8" spans="1:14" ht="15">
      <c r="A8" s="12" t="s">
        <v>14</v>
      </c>
      <c r="B8" s="13" t="s">
        <v>162</v>
      </c>
      <c r="C8" s="14">
        <v>48</v>
      </c>
      <c r="D8" s="14">
        <v>119.47916412353516</v>
      </c>
      <c r="E8" s="14">
        <v>4180.10986328125</v>
      </c>
      <c r="F8" s="15">
        <v>3.5149837753251321</v>
      </c>
      <c r="G8" s="15">
        <v>6.0877952889052231</v>
      </c>
      <c r="H8" s="15">
        <v>5.8847976247995977</v>
      </c>
      <c r="I8" s="15">
        <v>0.96654297013727231</v>
      </c>
      <c r="J8" s="16" t="s">
        <v>163</v>
      </c>
      <c r="K8" s="16" t="s">
        <v>163</v>
      </c>
      <c r="L8" s="16" t="s">
        <v>163</v>
      </c>
      <c r="M8" s="16" t="s">
        <v>158</v>
      </c>
      <c r="N8" s="17">
        <v>-0.22100301279435619</v>
      </c>
    </row>
    <row r="9" spans="1:14" ht="15">
      <c r="A9" s="12" t="s">
        <v>15</v>
      </c>
      <c r="B9" s="13" t="s">
        <v>161</v>
      </c>
      <c r="C9" s="14">
        <v>26</v>
      </c>
      <c r="D9" s="14">
        <v>160.07691955566406</v>
      </c>
      <c r="E9" s="14">
        <v>7805.611328125</v>
      </c>
      <c r="F9" s="15">
        <v>4.6612935761754963</v>
      </c>
      <c r="G9" s="15">
        <v>8.1008662924220012</v>
      </c>
      <c r="H9" s="15">
        <v>8.0531498548699112</v>
      </c>
      <c r="I9" s="15">
        <v>0.14730266001276324</v>
      </c>
      <c r="J9" s="16" t="s">
        <v>159</v>
      </c>
      <c r="K9" s="16" t="s">
        <v>159</v>
      </c>
      <c r="L9" s="16" t="s">
        <v>159</v>
      </c>
      <c r="M9" s="16" t="s">
        <v>158</v>
      </c>
      <c r="N9" s="17">
        <v>0.49880700386900606</v>
      </c>
    </row>
    <row r="10" spans="1:14" ht="15">
      <c r="A10" s="12" t="s">
        <v>16</v>
      </c>
      <c r="B10" s="13"/>
      <c r="C10" s="14">
        <v>1660</v>
      </c>
      <c r="D10" s="14" t="s">
        <v>164</v>
      </c>
      <c r="E10" s="14" t="s">
        <v>164</v>
      </c>
      <c r="F10" s="15"/>
      <c r="G10" s="15"/>
      <c r="H10" s="15"/>
      <c r="I10" s="15"/>
      <c r="J10" s="16" t="s">
        <v>164</v>
      </c>
      <c r="K10" s="16" t="s">
        <v>164</v>
      </c>
      <c r="L10" s="16" t="s">
        <v>164</v>
      </c>
      <c r="M10" s="16" t="s">
        <v>164</v>
      </c>
      <c r="N10" s="17"/>
    </row>
    <row r="11" spans="1:14" ht="15">
      <c r="A11" s="12" t="s">
        <v>17</v>
      </c>
      <c r="B11" s="13" t="s">
        <v>165</v>
      </c>
      <c r="C11" s="14">
        <v>26</v>
      </c>
      <c r="D11" s="14">
        <v>146.88461303710938</v>
      </c>
      <c r="E11" s="14">
        <v>3605.552001953125</v>
      </c>
      <c r="F11" s="15">
        <v>2.3381308460564778</v>
      </c>
      <c r="G11" s="15">
        <v>4.8919216416276203</v>
      </c>
      <c r="H11" s="15">
        <v>5.391404926650579</v>
      </c>
      <c r="I11" s="15">
        <v>-0.35989575207007063</v>
      </c>
      <c r="J11" s="16" t="s">
        <v>163</v>
      </c>
      <c r="K11" s="16" t="s">
        <v>158</v>
      </c>
      <c r="L11" s="16" t="s">
        <v>163</v>
      </c>
      <c r="M11" s="16" t="s">
        <v>158</v>
      </c>
      <c r="N11" s="17">
        <v>-0.49884692302959316</v>
      </c>
    </row>
    <row r="12" spans="1:14" ht="15">
      <c r="A12" s="12" t="s">
        <v>18</v>
      </c>
      <c r="B12" s="13" t="s">
        <v>160</v>
      </c>
      <c r="C12" s="14">
        <v>51</v>
      </c>
      <c r="D12" s="14">
        <v>20.803920745849609</v>
      </c>
      <c r="E12" s="14">
        <v>90.239799499511719</v>
      </c>
      <c r="F12" s="15">
        <v>0.59469233143003619</v>
      </c>
      <c r="G12" s="15">
        <v>1.4040532651074324</v>
      </c>
      <c r="H12" s="15">
        <v>5.3219580100541855</v>
      </c>
      <c r="I12" s="15">
        <v>-2.109624176322817</v>
      </c>
      <c r="J12" s="16" t="s">
        <v>158</v>
      </c>
      <c r="K12" s="16" t="s">
        <v>158</v>
      </c>
      <c r="L12" s="16" t="s">
        <v>158</v>
      </c>
      <c r="M12" s="16" t="s">
        <v>158</v>
      </c>
      <c r="N12" s="17">
        <v>-0.5441427333517963</v>
      </c>
    </row>
    <row r="13" spans="1:14" ht="15">
      <c r="A13" s="12" t="s">
        <v>19</v>
      </c>
      <c r="B13" s="13" t="s">
        <v>167</v>
      </c>
      <c r="C13" s="14">
        <v>1496</v>
      </c>
      <c r="D13" s="14">
        <v>17.810829162597656</v>
      </c>
      <c r="E13" s="14">
        <v>1694.760009765625</v>
      </c>
      <c r="F13" s="15">
        <v>1.7054947125840729</v>
      </c>
      <c r="G13" s="15">
        <v>5.0585699322581883</v>
      </c>
      <c r="H13" s="15">
        <v>7.3344866216745315</v>
      </c>
      <c r="I13" s="15">
        <v>-0.30949714043237769</v>
      </c>
      <c r="J13" s="16" t="s">
        <v>163</v>
      </c>
      <c r="K13" s="16" t="s">
        <v>159</v>
      </c>
      <c r="L13" s="16" t="s">
        <v>159</v>
      </c>
      <c r="M13" s="16" t="s">
        <v>158</v>
      </c>
      <c r="N13" s="17">
        <v>-0.1593653369040636</v>
      </c>
    </row>
    <row r="14" spans="1:14" ht="15">
      <c r="A14" s="12" t="s">
        <v>20</v>
      </c>
      <c r="B14" s="13" t="s">
        <v>168</v>
      </c>
      <c r="C14" s="14">
        <v>7</v>
      </c>
      <c r="D14" s="14">
        <v>242.85714721679688</v>
      </c>
      <c r="E14" s="14">
        <v>3054.88330078125</v>
      </c>
      <c r="F14" s="15">
        <v>1.2132909662062246</v>
      </c>
      <c r="G14" s="15">
        <v>1.9780088334078907</v>
      </c>
      <c r="H14" s="15">
        <v>3.3348407434053735</v>
      </c>
      <c r="I14" s="15">
        <v>-1.2965125527718233</v>
      </c>
      <c r="J14" s="16" t="s">
        <v>163</v>
      </c>
      <c r="K14" s="16" t="s">
        <v>158</v>
      </c>
      <c r="L14" s="16" t="s">
        <v>163</v>
      </c>
      <c r="M14" s="16" t="s">
        <v>158</v>
      </c>
      <c r="N14" s="17">
        <v>-0.63544644125772953</v>
      </c>
    </row>
    <row r="15" spans="1:14" ht="15">
      <c r="A15" s="12" t="s">
        <v>21</v>
      </c>
      <c r="B15" s="13" t="s">
        <v>166</v>
      </c>
      <c r="C15" s="14">
        <v>20</v>
      </c>
      <c r="D15" s="14">
        <v>79.050003051757813</v>
      </c>
      <c r="E15" s="14">
        <v>875.04718017578125</v>
      </c>
      <c r="F15" s="15">
        <v>2.834867979398076</v>
      </c>
      <c r="G15" s="15">
        <v>6.004260930958365</v>
      </c>
      <c r="H15" s="15">
        <v>7.8192142802816846</v>
      </c>
      <c r="I15" s="15">
        <v>-1.2705144463529556</v>
      </c>
      <c r="J15" s="16" t="s">
        <v>158</v>
      </c>
      <c r="K15" s="16" t="s">
        <v>158</v>
      </c>
      <c r="L15" s="16" t="s">
        <v>158</v>
      </c>
      <c r="M15" s="16" t="s">
        <v>158</v>
      </c>
      <c r="N15" s="17">
        <v>-0.11120811902104531</v>
      </c>
    </row>
    <row r="16" spans="1:14" ht="15">
      <c r="A16" s="12" t="s">
        <v>22</v>
      </c>
      <c r="B16" s="13" t="s">
        <v>160</v>
      </c>
      <c r="C16" s="14">
        <v>53</v>
      </c>
      <c r="D16" s="14">
        <v>166.88679504394531</v>
      </c>
      <c r="E16" s="14">
        <v>12171.5302734375</v>
      </c>
      <c r="F16" s="15">
        <v>3.1318263902879844</v>
      </c>
      <c r="G16" s="15">
        <v>6.0159520171642455</v>
      </c>
      <c r="H16" s="15">
        <v>6.4662979397663962</v>
      </c>
      <c r="I16" s="15">
        <v>5.7712921915916891E-2</v>
      </c>
      <c r="J16" s="16" t="s">
        <v>159</v>
      </c>
      <c r="K16" s="16" t="s">
        <v>163</v>
      </c>
      <c r="L16" s="16" t="s">
        <v>159</v>
      </c>
      <c r="M16" s="16" t="s">
        <v>158</v>
      </c>
      <c r="N16" s="17">
        <v>0.27706042699070471</v>
      </c>
    </row>
    <row r="17" spans="1:14" ht="15">
      <c r="A17" s="12" t="s">
        <v>23</v>
      </c>
      <c r="B17" s="13" t="s">
        <v>160</v>
      </c>
      <c r="C17" s="14">
        <v>67</v>
      </c>
      <c r="D17" s="14">
        <v>99.58209228515625</v>
      </c>
      <c r="E17" s="14">
        <v>3029.6953125</v>
      </c>
      <c r="F17" s="15">
        <v>2.463311089994173</v>
      </c>
      <c r="G17" s="15">
        <v>5.4082726902952949</v>
      </c>
      <c r="H17" s="15">
        <v>7.0918439196782845</v>
      </c>
      <c r="I17" s="15">
        <v>-1.0306973627526679</v>
      </c>
      <c r="J17" s="16" t="s">
        <v>176</v>
      </c>
      <c r="K17" s="16" t="s">
        <v>163</v>
      </c>
      <c r="L17" s="16" t="s">
        <v>163</v>
      </c>
      <c r="M17" s="16" t="s">
        <v>158</v>
      </c>
      <c r="N17" s="17">
        <v>-0.16505682820342735</v>
      </c>
    </row>
    <row r="18" spans="1:14" ht="15">
      <c r="A18" s="12" t="s">
        <v>24</v>
      </c>
      <c r="B18" s="13" t="s">
        <v>157</v>
      </c>
      <c r="C18" s="14">
        <v>41</v>
      </c>
      <c r="D18" s="14">
        <v>193.26829528808594</v>
      </c>
      <c r="E18" s="14">
        <v>34542.6328125</v>
      </c>
      <c r="F18" s="15">
        <v>5.2905801769286063</v>
      </c>
      <c r="G18" s="15">
        <v>9.5106620676473437</v>
      </c>
      <c r="H18" s="15">
        <v>8.8271516104515246</v>
      </c>
      <c r="I18" s="15">
        <v>1.2507111152190136</v>
      </c>
      <c r="J18" s="16" t="s">
        <v>159</v>
      </c>
      <c r="K18" s="16" t="s">
        <v>159</v>
      </c>
      <c r="L18" s="16" t="s">
        <v>159</v>
      </c>
      <c r="M18" s="16" t="s">
        <v>158</v>
      </c>
      <c r="N18" s="17">
        <v>0.26002394943262663</v>
      </c>
    </row>
    <row r="19" spans="1:14" ht="15">
      <c r="A19" s="12" t="s">
        <v>25</v>
      </c>
      <c r="B19" s="13" t="s">
        <v>157</v>
      </c>
      <c r="C19" s="14">
        <v>27</v>
      </c>
      <c r="D19" s="14">
        <v>200.44444274902344</v>
      </c>
      <c r="E19" s="14">
        <v>26615.669921875</v>
      </c>
      <c r="F19" s="15">
        <v>9.2658679329830136</v>
      </c>
      <c r="G19" s="15">
        <v>15.131093563922843</v>
      </c>
      <c r="H19" s="15">
        <v>13.821352398453666</v>
      </c>
      <c r="I19" s="15">
        <v>1.3627827363063552</v>
      </c>
      <c r="J19" s="16" t="s">
        <v>159</v>
      </c>
      <c r="K19" s="16" t="s">
        <v>159</v>
      </c>
      <c r="L19" s="16" t="s">
        <v>159</v>
      </c>
      <c r="M19" s="16" t="s">
        <v>158</v>
      </c>
      <c r="N19" s="17">
        <v>0.29043570838212929</v>
      </c>
    </row>
    <row r="20" spans="1:14" ht="15">
      <c r="A20" s="12" t="s">
        <v>26</v>
      </c>
      <c r="B20" s="13" t="s">
        <v>157</v>
      </c>
      <c r="C20" s="14">
        <v>21</v>
      </c>
      <c r="D20" s="14">
        <v>189.14285278320313</v>
      </c>
      <c r="E20" s="14">
        <v>14240.99609375</v>
      </c>
      <c r="F20" s="15">
        <v>4.6394150070321656</v>
      </c>
      <c r="G20" s="15">
        <v>7.4962598629099215</v>
      </c>
      <c r="H20" s="15">
        <v>6.7865872228489312</v>
      </c>
      <c r="I20" s="15">
        <v>1.1336501593661741</v>
      </c>
      <c r="J20" s="16" t="s">
        <v>158</v>
      </c>
      <c r="K20" s="16" t="s">
        <v>158</v>
      </c>
      <c r="L20" s="16" t="s">
        <v>158</v>
      </c>
      <c r="M20" s="16" t="s">
        <v>158</v>
      </c>
      <c r="N20" s="17">
        <v>-0.45407511126300665</v>
      </c>
    </row>
    <row r="21" spans="1:14" ht="15">
      <c r="A21" s="12" t="s">
        <v>27</v>
      </c>
      <c r="B21" s="13" t="s">
        <v>161</v>
      </c>
      <c r="C21" s="14">
        <v>41</v>
      </c>
      <c r="D21" s="14">
        <v>176.68292236328125</v>
      </c>
      <c r="E21" s="14">
        <v>16844.87109375</v>
      </c>
      <c r="F21" s="15">
        <v>4.7199501483194943</v>
      </c>
      <c r="G21" s="15">
        <v>9.6433852045436712</v>
      </c>
      <c r="H21" s="15">
        <v>8.6152864889471434</v>
      </c>
      <c r="I21" s="15">
        <v>1.3938694608944711</v>
      </c>
      <c r="J21" s="16" t="s">
        <v>159</v>
      </c>
      <c r="K21" s="16" t="s">
        <v>159</v>
      </c>
      <c r="L21" s="16" t="s">
        <v>163</v>
      </c>
      <c r="M21" s="16" t="s">
        <v>158</v>
      </c>
      <c r="N21" s="17">
        <v>6.3764540585061133E-2</v>
      </c>
    </row>
    <row r="22" spans="1:14" ht="15">
      <c r="A22" s="12" t="s">
        <v>28</v>
      </c>
      <c r="B22" s="13" t="s">
        <v>161</v>
      </c>
      <c r="C22" s="14">
        <v>12</v>
      </c>
      <c r="D22" s="14">
        <v>134.16667175292969</v>
      </c>
      <c r="E22" s="14">
        <v>1594.2882080078125</v>
      </c>
      <c r="F22" s="15">
        <v>3.8839985959231096</v>
      </c>
      <c r="G22" s="15">
        <v>8.1039774593999354</v>
      </c>
      <c r="H22" s="15">
        <v>8.848412568899148</v>
      </c>
      <c r="I22" s="15">
        <v>1.5921918467900622</v>
      </c>
      <c r="J22" s="16" t="s">
        <v>158</v>
      </c>
      <c r="K22" s="16" t="s">
        <v>158</v>
      </c>
      <c r="L22" s="16" t="s">
        <v>163</v>
      </c>
      <c r="M22" s="16" t="s">
        <v>158</v>
      </c>
      <c r="N22" s="17">
        <v>-0.29385541690501699</v>
      </c>
    </row>
    <row r="23" spans="1:14" ht="15">
      <c r="A23" s="12" t="s">
        <v>29</v>
      </c>
      <c r="B23" s="13" t="s">
        <v>167</v>
      </c>
      <c r="C23" s="14">
        <v>177</v>
      </c>
      <c r="D23" s="14">
        <v>135.24293518066406</v>
      </c>
      <c r="E23" s="14">
        <v>8623.8330078125</v>
      </c>
      <c r="F23" s="15">
        <v>2.4144945049821049</v>
      </c>
      <c r="G23" s="15">
        <v>6.6574640302827897</v>
      </c>
      <c r="H23" s="15">
        <v>4.8935143829990047</v>
      </c>
      <c r="I23" s="15">
        <v>2.397690520135308</v>
      </c>
      <c r="J23" s="16" t="s">
        <v>163</v>
      </c>
      <c r="K23" s="16" t="s">
        <v>159</v>
      </c>
      <c r="L23" s="16" t="s">
        <v>159</v>
      </c>
      <c r="M23" s="16" t="s">
        <v>158</v>
      </c>
      <c r="N23" s="17">
        <v>-1.342238689470867E-2</v>
      </c>
    </row>
    <row r="24" spans="1:14" ht="15">
      <c r="A24" s="12" t="s">
        <v>30</v>
      </c>
      <c r="B24" s="13" t="s">
        <v>170</v>
      </c>
      <c r="C24" s="14">
        <v>109</v>
      </c>
      <c r="D24" s="14">
        <v>176.11009216308594</v>
      </c>
      <c r="E24" s="14">
        <v>23356.0078125</v>
      </c>
      <c r="F24" s="15">
        <v>4.8496326001614873</v>
      </c>
      <c r="G24" s="15">
        <v>9.210979095768133</v>
      </c>
      <c r="H24" s="15">
        <v>7.848462685943022</v>
      </c>
      <c r="I24" s="15">
        <v>1.8632105092900673</v>
      </c>
      <c r="J24" s="16" t="s">
        <v>163</v>
      </c>
      <c r="K24" s="16" t="s">
        <v>159</v>
      </c>
      <c r="L24" s="16" t="s">
        <v>159</v>
      </c>
      <c r="M24" s="16" t="s">
        <v>158</v>
      </c>
      <c r="N24" s="17">
        <v>-6.1248625962979787E-2</v>
      </c>
    </row>
    <row r="25" spans="1:14" ht="15">
      <c r="A25" s="12" t="s">
        <v>31</v>
      </c>
      <c r="B25" s="13" t="s">
        <v>171</v>
      </c>
      <c r="C25" s="14">
        <v>24</v>
      </c>
      <c r="D25" s="14">
        <v>212.83332824707031</v>
      </c>
      <c r="E25" s="14">
        <v>6722.15234375</v>
      </c>
      <c r="F25" s="15">
        <v>2.109572295360203</v>
      </c>
      <c r="G25" s="15">
        <v>6.7918242111966194</v>
      </c>
      <c r="H25" s="15">
        <v>6.3211798121135478</v>
      </c>
      <c r="I25" s="15">
        <v>0.47380839964727756</v>
      </c>
      <c r="J25" s="16" t="s">
        <v>163</v>
      </c>
      <c r="K25" s="16" t="s">
        <v>159</v>
      </c>
      <c r="L25" s="16" t="s">
        <v>159</v>
      </c>
      <c r="M25" s="16" t="s">
        <v>158</v>
      </c>
      <c r="N25" s="17">
        <v>3.3151007660306341E-2</v>
      </c>
    </row>
    <row r="26" spans="1:14" ht="15">
      <c r="A26" s="12" t="s">
        <v>32</v>
      </c>
      <c r="B26" s="13" t="s">
        <v>171</v>
      </c>
      <c r="C26" s="14">
        <v>25</v>
      </c>
      <c r="D26" s="14">
        <v>198.80000305175781</v>
      </c>
      <c r="E26" s="14">
        <v>4225.04638671875</v>
      </c>
      <c r="F26" s="15">
        <v>3.8737302277546348</v>
      </c>
      <c r="G26" s="15">
        <v>12.659089171277623</v>
      </c>
      <c r="H26" s="15">
        <v>10.088642880639673</v>
      </c>
      <c r="I26" s="15">
        <v>2.8324039193151282</v>
      </c>
      <c r="J26" s="16" t="s">
        <v>163</v>
      </c>
      <c r="K26" s="16" t="s">
        <v>159</v>
      </c>
      <c r="L26" s="16" t="s">
        <v>163</v>
      </c>
      <c r="M26" s="16" t="s">
        <v>158</v>
      </c>
      <c r="N26" s="17">
        <v>1.7113156983104276E-2</v>
      </c>
    </row>
    <row r="27" spans="1:14" ht="15">
      <c r="A27" s="12" t="s">
        <v>33</v>
      </c>
      <c r="B27" s="13" t="s">
        <v>172</v>
      </c>
      <c r="C27" s="14">
        <v>70</v>
      </c>
      <c r="D27" s="14">
        <v>135.32856750488281</v>
      </c>
      <c r="E27" s="14">
        <v>16820.224609375</v>
      </c>
      <c r="F27" s="15">
        <v>4.1629387955305193</v>
      </c>
      <c r="G27" s="15">
        <v>6.7939151245633971</v>
      </c>
      <c r="H27" s="15">
        <v>6.5413375307886028</v>
      </c>
      <c r="I27" s="15">
        <v>0.6395568606846026</v>
      </c>
      <c r="J27" s="16" t="s">
        <v>158</v>
      </c>
      <c r="K27" s="16" t="s">
        <v>163</v>
      </c>
      <c r="L27" s="16" t="s">
        <v>159</v>
      </c>
      <c r="M27" s="16" t="s">
        <v>158</v>
      </c>
      <c r="N27" s="17">
        <v>-0.46154301172690254</v>
      </c>
    </row>
    <row r="28" spans="1:14" ht="15">
      <c r="A28" s="12" t="s">
        <v>34</v>
      </c>
      <c r="B28" s="13" t="s">
        <v>172</v>
      </c>
      <c r="C28" s="14">
        <v>156</v>
      </c>
      <c r="D28" s="14">
        <v>84.282051086425781</v>
      </c>
      <c r="E28" s="14">
        <v>15757.1845703125</v>
      </c>
      <c r="F28" s="15">
        <v>7.757191793034802</v>
      </c>
      <c r="G28" s="15">
        <v>10.262828621274485</v>
      </c>
      <c r="H28" s="15">
        <v>10.11393314154806</v>
      </c>
      <c r="I28" s="15">
        <v>1.0552800123476955</v>
      </c>
      <c r="J28" s="16" t="s">
        <v>163</v>
      </c>
      <c r="K28" s="16" t="s">
        <v>159</v>
      </c>
      <c r="L28" s="16" t="s">
        <v>159</v>
      </c>
      <c r="M28" s="16" t="s">
        <v>158</v>
      </c>
      <c r="N28" s="17">
        <v>-2.0556310334685218E-2</v>
      </c>
    </row>
    <row r="29" spans="1:14" ht="15">
      <c r="A29" s="12" t="s">
        <v>35</v>
      </c>
      <c r="B29" s="13" t="s">
        <v>160</v>
      </c>
      <c r="C29" s="14">
        <v>173</v>
      </c>
      <c r="D29" s="14">
        <v>69.260116577148438</v>
      </c>
      <c r="E29" s="14">
        <v>3899.60302734375</v>
      </c>
      <c r="F29" s="15">
        <v>2.6274532690798775</v>
      </c>
      <c r="G29" s="15">
        <v>6.0194571419822696</v>
      </c>
      <c r="H29" s="15">
        <v>6.1853628859996785</v>
      </c>
      <c r="I29" s="15">
        <v>0.76823980423790739</v>
      </c>
      <c r="J29" s="16" t="s">
        <v>159</v>
      </c>
      <c r="K29" s="16" t="s">
        <v>159</v>
      </c>
      <c r="L29" s="16" t="s">
        <v>159</v>
      </c>
      <c r="M29" s="16" t="s">
        <v>158</v>
      </c>
      <c r="N29" s="17">
        <v>0.16133727696672109</v>
      </c>
    </row>
    <row r="30" spans="1:14" ht="15">
      <c r="A30" s="12" t="s">
        <v>36</v>
      </c>
      <c r="B30" s="13" t="s">
        <v>171</v>
      </c>
      <c r="C30" s="14">
        <v>177</v>
      </c>
      <c r="D30" s="14">
        <v>63.604518890380859</v>
      </c>
      <c r="E30" s="14">
        <v>3274.14111328125</v>
      </c>
      <c r="F30" s="15">
        <v>3.7208516797231921</v>
      </c>
      <c r="G30" s="15">
        <v>8.2770853289874111</v>
      </c>
      <c r="H30" s="15">
        <v>5.9949171531618273</v>
      </c>
      <c r="I30" s="15">
        <v>3.291608436046598</v>
      </c>
      <c r="J30" s="16" t="s">
        <v>159</v>
      </c>
      <c r="K30" s="16" t="s">
        <v>159</v>
      </c>
      <c r="L30" s="16" t="s">
        <v>159</v>
      </c>
      <c r="M30" s="16" t="s">
        <v>158</v>
      </c>
      <c r="N30" s="17">
        <v>0.44512262401533353</v>
      </c>
    </row>
    <row r="31" spans="1:14" ht="15">
      <c r="A31" s="12" t="s">
        <v>37</v>
      </c>
      <c r="B31" s="13" t="s">
        <v>167</v>
      </c>
      <c r="C31" s="14">
        <v>1081</v>
      </c>
      <c r="D31" s="14">
        <v>76.606842041015625</v>
      </c>
      <c r="E31" s="14">
        <v>21202.494140625</v>
      </c>
      <c r="F31" s="15">
        <v>2.7821756332790715</v>
      </c>
      <c r="G31" s="15">
        <v>8.4798829642941218</v>
      </c>
      <c r="H31" s="15">
        <v>7.056969229851779</v>
      </c>
      <c r="I31" s="15">
        <v>2.4354489306577158</v>
      </c>
      <c r="J31" s="16" t="s">
        <v>159</v>
      </c>
      <c r="K31" s="16" t="s">
        <v>158</v>
      </c>
      <c r="L31" s="16" t="s">
        <v>159</v>
      </c>
      <c r="M31" s="16" t="s">
        <v>158</v>
      </c>
      <c r="N31" s="17">
        <v>0.20884139756680645</v>
      </c>
    </row>
    <row r="32" spans="1:14" ht="15">
      <c r="A32" s="12" t="s">
        <v>38</v>
      </c>
      <c r="B32" s="13" t="s">
        <v>173</v>
      </c>
      <c r="C32" s="14">
        <v>200</v>
      </c>
      <c r="D32" s="14">
        <v>51.619998931884766</v>
      </c>
      <c r="E32" s="14">
        <v>2087.56640625</v>
      </c>
      <c r="F32" s="15">
        <v>3.1434047609130613</v>
      </c>
      <c r="G32" s="15">
        <v>10.990116074783767</v>
      </c>
      <c r="H32" s="15">
        <v>8.4727543389726616</v>
      </c>
      <c r="I32" s="15">
        <v>3.628655685148408</v>
      </c>
      <c r="J32" s="16" t="s">
        <v>159</v>
      </c>
      <c r="K32" s="16" t="s">
        <v>159</v>
      </c>
      <c r="L32" s="16" t="s">
        <v>158</v>
      </c>
      <c r="M32" s="16" t="s">
        <v>158</v>
      </c>
      <c r="N32" s="17">
        <v>0.32805898468047701</v>
      </c>
    </row>
    <row r="33" spans="1:14" ht="15">
      <c r="A33" s="12" t="s">
        <v>39</v>
      </c>
      <c r="B33" s="13" t="s">
        <v>160</v>
      </c>
      <c r="C33" s="14">
        <v>27</v>
      </c>
      <c r="D33" s="14">
        <v>141.59259033203125</v>
      </c>
      <c r="E33" s="14">
        <v>2669.5380859375</v>
      </c>
      <c r="F33" s="15">
        <v>2.2703939102073631</v>
      </c>
      <c r="G33" s="15">
        <v>4.4984559169399203</v>
      </c>
      <c r="H33" s="15">
        <v>4.9850260838299905</v>
      </c>
      <c r="I33" s="15">
        <v>-3.4065385765346379E-3</v>
      </c>
      <c r="J33" s="16" t="s">
        <v>163</v>
      </c>
      <c r="K33" s="16" t="s">
        <v>163</v>
      </c>
      <c r="L33" s="16" t="s">
        <v>163</v>
      </c>
      <c r="M33" s="16" t="s">
        <v>158</v>
      </c>
      <c r="N33" s="17">
        <v>-0.15468946569900158</v>
      </c>
    </row>
    <row r="34" spans="1:14" ht="15">
      <c r="A34" s="12" t="s">
        <v>40</v>
      </c>
      <c r="B34" s="13" t="s">
        <v>160</v>
      </c>
      <c r="C34" s="14">
        <v>53</v>
      </c>
      <c r="D34" s="14">
        <v>129.49057006835938</v>
      </c>
      <c r="E34" s="14">
        <v>2634.4521484375</v>
      </c>
      <c r="F34" s="15">
        <v>2.2614042509020362</v>
      </c>
      <c r="G34" s="15">
        <v>5.0352502785236375</v>
      </c>
      <c r="H34" s="15">
        <v>5.5389396532045287</v>
      </c>
      <c r="I34" s="15">
        <v>-2.5718288535560123E-2</v>
      </c>
      <c r="J34" s="16" t="s">
        <v>159</v>
      </c>
      <c r="K34" s="16" t="s">
        <v>163</v>
      </c>
      <c r="L34" s="16" t="s">
        <v>163</v>
      </c>
      <c r="M34" s="16" t="s">
        <v>158</v>
      </c>
      <c r="N34" s="17">
        <v>-3.5890973833791667E-2</v>
      </c>
    </row>
  </sheetData>
  <mergeCells count="1">
    <mergeCell ref="M1:N1"/>
  </mergeCells>
  <hyperlinks>
    <hyperlink ref="M1:N1" location="Home_page" display="Back to_x000a_home page" xr:uid="{28565745-8D85-4E9C-9F89-2658469E0339}"/>
  </hyperlinks>
  <pageMargins left="0.7" right="0.7" top="0.75" bottom="0.75" header="0.3" footer="0.3"/>
  <pageSetup paperSize="9" scale="74"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976B4-E483-496A-A25D-BBC5D163C244}">
  <sheetPr codeName="Feuil6">
    <pageSetUpPr fitToPage="1"/>
  </sheetPr>
  <dimension ref="A1:S192"/>
  <sheetViews>
    <sheetView zoomScale="85" zoomScaleNormal="85"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10</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13</v>
      </c>
      <c r="E3" s="27">
        <v>12</v>
      </c>
      <c r="F3" s="27">
        <v>5</v>
      </c>
      <c r="G3" s="27">
        <v>5</v>
      </c>
      <c r="H3" s="27">
        <v>9</v>
      </c>
      <c r="I3" s="27">
        <v>12</v>
      </c>
      <c r="J3" s="27">
        <v>15</v>
      </c>
      <c r="K3" s="27">
        <v>14</v>
      </c>
      <c r="L3" s="27">
        <v>10</v>
      </c>
      <c r="M3" s="27">
        <v>11</v>
      </c>
      <c r="N3" s="27">
        <v>7</v>
      </c>
      <c r="O3" s="28">
        <f t="shared" ref="O3:O41" si="0">IF(N3=0,"",IFERROR(IF(AND(N3&gt;0,D3&lt;0),"na",IF(AND(N3&lt;0,D3&lt;0),-1,1)*(N3-D3)/D3),""))</f>
        <v>-0.46153846153846156</v>
      </c>
      <c r="P3" s="28">
        <f t="shared" ref="P3:P41" si="1">IF(N3=0,"",IFERROR(IF(AND(N3&gt;0,J3&lt;0),"na",IF(AND(N3&lt;0,J3&lt;0),-1,1)*(N3-J3)/J3),""))</f>
        <v>-0.53333333333333333</v>
      </c>
      <c r="Q3" s="206"/>
    </row>
    <row r="4" spans="1:17" ht="18" customHeight="1">
      <c r="A4" s="172"/>
      <c r="B4" s="29" t="s">
        <v>184</v>
      </c>
      <c r="C4" s="30"/>
      <c r="D4" s="30">
        <v>4522</v>
      </c>
      <c r="E4" s="30">
        <v>3132</v>
      </c>
      <c r="F4" s="30">
        <v>962</v>
      </c>
      <c r="G4" s="30">
        <v>824</v>
      </c>
      <c r="H4" s="30">
        <v>1780</v>
      </c>
      <c r="I4" s="30">
        <v>2392</v>
      </c>
      <c r="J4" s="30">
        <v>3116</v>
      </c>
      <c r="K4" s="30">
        <v>4214</v>
      </c>
      <c r="L4" s="30">
        <v>2943</v>
      </c>
      <c r="M4" s="30">
        <v>3181</v>
      </c>
      <c r="N4" s="30">
        <v>2189</v>
      </c>
      <c r="O4" s="28">
        <f t="shared" si="0"/>
        <v>-0.51592215833701904</v>
      </c>
      <c r="P4" s="28">
        <f t="shared" si="1"/>
        <v>-0.29749679075738128</v>
      </c>
      <c r="Q4" s="206"/>
    </row>
    <row r="5" spans="1:17" ht="18" customHeight="1">
      <c r="A5" s="172"/>
      <c r="B5" s="29" t="s">
        <v>185</v>
      </c>
      <c r="C5" s="30"/>
      <c r="D5" s="30">
        <v>1365</v>
      </c>
      <c r="E5" s="30">
        <v>844</v>
      </c>
      <c r="F5" s="30">
        <v>222</v>
      </c>
      <c r="G5" s="30">
        <v>124</v>
      </c>
      <c r="H5" s="30">
        <v>445</v>
      </c>
      <c r="I5" s="30">
        <v>559</v>
      </c>
      <c r="J5" s="30">
        <v>742</v>
      </c>
      <c r="K5" s="30">
        <v>1291</v>
      </c>
      <c r="L5" s="30">
        <v>984</v>
      </c>
      <c r="M5" s="30">
        <v>953</v>
      </c>
      <c r="N5" s="30">
        <v>654</v>
      </c>
      <c r="O5" s="28">
        <f t="shared" si="0"/>
        <v>-0.52087912087912092</v>
      </c>
      <c r="P5" s="28">
        <f t="shared" si="1"/>
        <v>-0.11859838274932614</v>
      </c>
      <c r="Q5" s="207"/>
    </row>
    <row r="6" spans="1:17" ht="18" customHeight="1">
      <c r="A6" s="172"/>
      <c r="B6" s="29" t="s">
        <v>186</v>
      </c>
      <c r="C6" s="30"/>
      <c r="D6" s="30">
        <v>3686.2109375</v>
      </c>
      <c r="E6" s="30">
        <v>2568.482666015625</v>
      </c>
      <c r="F6" s="30">
        <v>812.86492919921875</v>
      </c>
      <c r="G6" s="30">
        <v>655.4130859375</v>
      </c>
      <c r="H6" s="30">
        <v>1545.7847900390625</v>
      </c>
      <c r="I6" s="30">
        <v>2021.1688232421875</v>
      </c>
      <c r="J6" s="30">
        <v>2644.4755859375</v>
      </c>
      <c r="K6" s="30">
        <v>3395.3896484375</v>
      </c>
      <c r="L6" s="30">
        <v>2410.098388671875</v>
      </c>
      <c r="M6" s="30">
        <v>2505.216552734375</v>
      </c>
      <c r="N6" s="30">
        <v>1732.0889892578125</v>
      </c>
      <c r="O6" s="28">
        <f t="shared" si="0"/>
        <v>-0.53011669201097844</v>
      </c>
      <c r="P6" s="28">
        <f t="shared" si="1"/>
        <v>-0.34501607862499323</v>
      </c>
      <c r="Q6" s="206"/>
    </row>
    <row r="7" spans="1:17" ht="18" customHeight="1">
      <c r="A7" s="172"/>
      <c r="B7" s="29" t="s">
        <v>187</v>
      </c>
      <c r="C7" s="30"/>
      <c r="D7" s="30">
        <v>2191.538818359375</v>
      </c>
      <c r="E7" s="30">
        <v>1124.8128662109375</v>
      </c>
      <c r="F7" s="30">
        <v>807.88848876953125</v>
      </c>
      <c r="G7" s="30">
        <v>474.81341552734375</v>
      </c>
      <c r="H7" s="30">
        <v>1007.833984375</v>
      </c>
      <c r="I7" s="30">
        <v>1027.6947021484375</v>
      </c>
      <c r="J7" s="30">
        <v>1499.262939453125</v>
      </c>
      <c r="K7" s="30">
        <v>2027.40966796875</v>
      </c>
      <c r="L7" s="30">
        <v>1982.2061767578125</v>
      </c>
      <c r="M7" s="30">
        <v>1931.9210205078125</v>
      </c>
      <c r="N7" s="30">
        <v>716.00537109375</v>
      </c>
      <c r="O7" s="28">
        <f t="shared" si="0"/>
        <v>-0.6732864756510385</v>
      </c>
      <c r="P7" s="28">
        <f t="shared" si="1"/>
        <v>-0.52242841982412913</v>
      </c>
      <c r="Q7" s="206"/>
    </row>
    <row r="8" spans="1:17" ht="18" customHeight="1">
      <c r="A8" s="172"/>
      <c r="B8" s="29" t="s">
        <v>188</v>
      </c>
      <c r="C8" s="31"/>
      <c r="D8" s="31">
        <f ca="1">3.27808225*OFFSET(D$112,MATCH($N$1,$C$112:$C$113,0)-1,0)</f>
        <v>3.2780822500000002</v>
      </c>
      <c r="E8" s="31">
        <f ca="1">2.034386375*OFFSET(E$112,MATCH($N$1,$C$112:$C$113,0)-1,0)</f>
        <v>2.034386375</v>
      </c>
      <c r="F8" s="31">
        <f ca="1">0.74988475*OFFSET(F$112,MATCH($N$1,$C$112:$C$113,0)-1,0)</f>
        <v>0.74988474999999999</v>
      </c>
      <c r="G8" s="31">
        <f ca="1">0.66745675*OFFSET(G$112,MATCH($N$1,$C$112:$C$113,0)-1,0)</f>
        <v>0.66745675000000004</v>
      </c>
      <c r="H8" s="31">
        <f ca="1">1.983206875*OFFSET(H$112,MATCH($N$1,$C$112:$C$113,0)-1,0)</f>
        <v>1.983206875</v>
      </c>
      <c r="I8" s="31">
        <f ca="1">1.81970875*OFFSET(I$112,MATCH($N$1,$C$112:$C$113,0)-1,0)</f>
        <v>1.81970875</v>
      </c>
      <c r="J8" s="31">
        <f ca="1">3.387381*OFFSET(J$112,MATCH($N$1,$C$112:$C$113,0)-1,0)</f>
        <v>3.387381</v>
      </c>
      <c r="K8" s="31">
        <f ca="1">4.7138605*OFFSET(K$112,MATCH($N$1,$C$112:$C$113,0)-1,0)</f>
        <v>4.7138605</v>
      </c>
      <c r="L8" s="31">
        <f ca="1">3.71138875*OFFSET(L$112,MATCH($N$1,$C$112:$C$113,0)-1,0)</f>
        <v>3.7113887499999998</v>
      </c>
      <c r="M8" s="31">
        <f ca="1">4.00998325*OFFSET(M$112,MATCH($N$1,$C$112:$C$113,0)-1,0)</f>
        <v>4.0099832500000003</v>
      </c>
      <c r="N8" s="31">
        <v>1.1514547499999999</v>
      </c>
      <c r="O8" s="28">
        <f t="shared" ca="1" si="0"/>
        <v>-0.64874134869556743</v>
      </c>
      <c r="P8" s="28">
        <f t="shared" ca="1" si="1"/>
        <v>-0.66007521740247121</v>
      </c>
      <c r="Q8" s="206"/>
    </row>
    <row r="9" spans="1:17" ht="18" customHeight="1">
      <c r="A9" s="172"/>
      <c r="B9" s="29" t="s">
        <v>189</v>
      </c>
      <c r="C9" s="30"/>
      <c r="D9" s="30">
        <v>1589</v>
      </c>
      <c r="E9" s="30">
        <v>1278</v>
      </c>
      <c r="F9" s="30">
        <v>520</v>
      </c>
      <c r="G9" s="30">
        <v>570</v>
      </c>
      <c r="H9" s="30">
        <v>1179</v>
      </c>
      <c r="I9" s="30">
        <v>1185</v>
      </c>
      <c r="J9" s="30">
        <v>1925</v>
      </c>
      <c r="K9" s="30">
        <v>1944</v>
      </c>
      <c r="L9" s="30">
        <v>1303</v>
      </c>
      <c r="M9" s="30">
        <v>1528</v>
      </c>
      <c r="N9" s="30">
        <v>731</v>
      </c>
      <c r="O9" s="28">
        <f t="shared" si="0"/>
        <v>-0.53996224040276908</v>
      </c>
      <c r="P9" s="28">
        <f t="shared" si="1"/>
        <v>-0.62025974025974029</v>
      </c>
      <c r="Q9" s="206"/>
    </row>
    <row r="10" spans="1:17" ht="18" customHeight="1">
      <c r="A10" s="172"/>
      <c r="B10" s="29" t="s">
        <v>190</v>
      </c>
      <c r="C10" s="30"/>
      <c r="D10" s="30">
        <v>43.325405120849609</v>
      </c>
      <c r="E10" s="30">
        <v>24.23173713684082</v>
      </c>
      <c r="F10" s="30">
        <v>4.2285799980163574</v>
      </c>
      <c r="G10" s="30">
        <v>8.4574441909790039</v>
      </c>
      <c r="H10" s="30">
        <v>25.546480178833008</v>
      </c>
      <c r="I10" s="30">
        <v>19.508607864379883</v>
      </c>
      <c r="J10" s="30">
        <v>63.301418304443359</v>
      </c>
      <c r="K10" s="30">
        <v>65.196533203125</v>
      </c>
      <c r="L10" s="30">
        <v>29.912155151367188</v>
      </c>
      <c r="M10" s="30">
        <v>30.173284530639648</v>
      </c>
      <c r="N10" s="30">
        <v>16.419948577880859</v>
      </c>
      <c r="O10" s="32">
        <f t="shared" si="0"/>
        <v>-0.62100876997964782</v>
      </c>
      <c r="P10" s="32">
        <f t="shared" si="1"/>
        <v>-0.74060694029144236</v>
      </c>
      <c r="Q10" s="206"/>
    </row>
    <row r="11" spans="1:17" ht="18" customHeight="1">
      <c r="A11" s="173" t="s">
        <v>191</v>
      </c>
      <c r="B11" s="33" t="s">
        <v>192</v>
      </c>
      <c r="C11" s="34"/>
      <c r="D11" s="34">
        <v>19.871538162231445</v>
      </c>
      <c r="E11" s="34">
        <v>16.831666946411133</v>
      </c>
      <c r="F11" s="34">
        <v>14.800000190734863</v>
      </c>
      <c r="G11" s="34">
        <v>12.283999443054199</v>
      </c>
      <c r="H11" s="34">
        <v>15.304444313049316</v>
      </c>
      <c r="I11" s="34">
        <v>14.946666717529297</v>
      </c>
      <c r="J11" s="34">
        <v>15.251333236694336</v>
      </c>
      <c r="K11" s="34">
        <v>17.649999618530273</v>
      </c>
      <c r="L11" s="34">
        <v>17.746000289916992</v>
      </c>
      <c r="M11" s="34">
        <v>16.495454788208008</v>
      </c>
      <c r="N11" s="34">
        <v>17.658571243286133</v>
      </c>
      <c r="O11" s="28">
        <f t="shared" si="0"/>
        <v>-0.11136364487130425</v>
      </c>
      <c r="P11" s="28">
        <f t="shared" si="1"/>
        <v>0.15783787353095408</v>
      </c>
      <c r="Q11" s="206"/>
    </row>
    <row r="12" spans="1:17" ht="18" customHeight="1">
      <c r="A12" s="174"/>
      <c r="B12" s="35" t="s">
        <v>184</v>
      </c>
      <c r="C12" s="30"/>
      <c r="D12" s="30">
        <v>347.84616088867188</v>
      </c>
      <c r="E12" s="30">
        <v>261</v>
      </c>
      <c r="F12" s="30">
        <v>192.39999389648438</v>
      </c>
      <c r="G12" s="30">
        <v>164.80000305175781</v>
      </c>
      <c r="H12" s="30">
        <v>197.77777099609375</v>
      </c>
      <c r="I12" s="30">
        <v>199.33332824707031</v>
      </c>
      <c r="J12" s="30">
        <v>207.73333740234375</v>
      </c>
      <c r="K12" s="30">
        <v>301</v>
      </c>
      <c r="L12" s="30">
        <v>294.29998779296875</v>
      </c>
      <c r="M12" s="30">
        <v>289.18182373046875</v>
      </c>
      <c r="N12" s="30">
        <v>312.71429443359375</v>
      </c>
      <c r="O12" s="28">
        <f t="shared" si="0"/>
        <v>-0.1009982871891522</v>
      </c>
      <c r="P12" s="28">
        <f t="shared" si="1"/>
        <v>0.50536403229261151</v>
      </c>
      <c r="Q12" s="206"/>
    </row>
    <row r="13" spans="1:17" ht="18" customHeight="1">
      <c r="A13" s="174"/>
      <c r="B13" s="35" t="s">
        <v>185</v>
      </c>
      <c r="C13" s="30"/>
      <c r="D13" s="30">
        <v>105</v>
      </c>
      <c r="E13" s="30">
        <v>70.333335876464844</v>
      </c>
      <c r="F13" s="30">
        <v>44.400001525878906</v>
      </c>
      <c r="G13" s="30">
        <v>24.799999237060547</v>
      </c>
      <c r="H13" s="30">
        <v>49.444442749023438</v>
      </c>
      <c r="I13" s="30">
        <v>46.583332061767578</v>
      </c>
      <c r="J13" s="30">
        <v>49.466667175292969</v>
      </c>
      <c r="K13" s="30">
        <v>92.214286804199219</v>
      </c>
      <c r="L13" s="30">
        <v>98.400001525878906</v>
      </c>
      <c r="M13" s="30">
        <v>86.636360168457031</v>
      </c>
      <c r="N13" s="30">
        <v>93.428573608398438</v>
      </c>
      <c r="O13" s="28">
        <f t="shared" si="0"/>
        <v>-0.11020406087239583</v>
      </c>
      <c r="P13" s="28">
        <f t="shared" si="1"/>
        <v>0.88871777589784839</v>
      </c>
      <c r="Q13" s="206"/>
    </row>
    <row r="14" spans="1:17" ht="18" customHeight="1">
      <c r="A14" s="174"/>
      <c r="B14" s="35" t="s">
        <v>186</v>
      </c>
      <c r="C14" s="30"/>
      <c r="D14" s="30">
        <v>283.5546875</v>
      </c>
      <c r="E14" s="30">
        <v>214.04022216796875</v>
      </c>
      <c r="F14" s="30">
        <v>162.57298278808594</v>
      </c>
      <c r="G14" s="30">
        <v>131.08262634277344</v>
      </c>
      <c r="H14" s="30">
        <v>171.75386047363281</v>
      </c>
      <c r="I14" s="30">
        <v>168.43072509765625</v>
      </c>
      <c r="J14" s="30">
        <v>176.29837036132813</v>
      </c>
      <c r="K14" s="30">
        <v>242.52783203125</v>
      </c>
      <c r="L14" s="30">
        <v>241.00984191894531</v>
      </c>
      <c r="M14" s="30">
        <v>227.74696350097656</v>
      </c>
      <c r="N14" s="30">
        <v>247.4412841796875</v>
      </c>
      <c r="O14" s="28">
        <f t="shared" si="0"/>
        <v>-0.12735957087753133</v>
      </c>
      <c r="P14" s="28">
        <f t="shared" si="1"/>
        <v>0.40353699057200648</v>
      </c>
      <c r="Q14" s="206"/>
    </row>
    <row r="15" spans="1:17" ht="18" customHeight="1">
      <c r="A15" s="174"/>
      <c r="B15" s="35" t="s">
        <v>187</v>
      </c>
      <c r="C15" s="31"/>
      <c r="D15" s="31">
        <v>168.57991027832031</v>
      </c>
      <c r="E15" s="31">
        <v>93.734405517578125</v>
      </c>
      <c r="F15" s="31">
        <v>161.57769775390625</v>
      </c>
      <c r="G15" s="31">
        <v>94.962684631347656</v>
      </c>
      <c r="H15" s="31">
        <v>111.98155975341797</v>
      </c>
      <c r="I15" s="31">
        <v>85.641220092773438</v>
      </c>
      <c r="J15" s="31">
        <v>99.950859069824219</v>
      </c>
      <c r="K15" s="31">
        <v>144.81497192382813</v>
      </c>
      <c r="L15" s="31">
        <v>198.22061157226563</v>
      </c>
      <c r="M15" s="31">
        <v>175.62918090820313</v>
      </c>
      <c r="N15" s="31">
        <v>102.28648376464844</v>
      </c>
      <c r="O15" s="28">
        <f t="shared" si="0"/>
        <v>-0.39324630321740855</v>
      </c>
      <c r="P15" s="28">
        <f t="shared" si="1"/>
        <v>2.3367730068158645E-2</v>
      </c>
      <c r="Q15" s="206"/>
    </row>
    <row r="16" spans="1:17" ht="18" customHeight="1">
      <c r="A16" s="174"/>
      <c r="B16" s="35" t="s">
        <v>193</v>
      </c>
      <c r="C16" s="31"/>
      <c r="D16" s="31">
        <f ca="1">252.160171875*OFFSET(D$112,MATCH($N$1,$C$112:$C$113,0)-1,0)</f>
        <v>252.160171875</v>
      </c>
      <c r="E16" s="31">
        <f ca="1">169.532203125*OFFSET(E$112,MATCH($N$1,$C$112:$C$113,0)-1,0)</f>
        <v>169.532203125</v>
      </c>
      <c r="F16" s="31">
        <f ca="1">149.976953125*OFFSET(F$112,MATCH($N$1,$C$112:$C$113,0)-1,0)</f>
        <v>149.97695312499999</v>
      </c>
      <c r="G16" s="31">
        <f ca="1">133.49134375*OFFSET(G$112,MATCH($N$1,$C$112:$C$113,0)-1,0)</f>
        <v>133.49134375</v>
      </c>
      <c r="H16" s="31">
        <f ca="1">220.3563125*OFFSET(H$112,MATCH($N$1,$C$112:$C$113,0)-1,0)</f>
        <v>220.3563125</v>
      </c>
      <c r="I16" s="31">
        <f ca="1">151.64240625*OFFSET(I$112,MATCH($N$1,$C$112:$C$113,0)-1,0)</f>
        <v>151.64240624999999</v>
      </c>
      <c r="J16" s="31">
        <f ca="1">225.825390625*OFFSET(J$112,MATCH($N$1,$C$112:$C$113,0)-1,0)</f>
        <v>225.82539062500001</v>
      </c>
      <c r="K16" s="31">
        <f ca="1">336.7043125*OFFSET(K$112,MATCH($N$1,$C$112:$C$113,0)-1,0)</f>
        <v>336.70431250000001</v>
      </c>
      <c r="L16" s="31">
        <f ca="1">371.138875*OFFSET(L$112,MATCH($N$1,$C$112:$C$113,0)-1,0)</f>
        <v>371.13887499999998</v>
      </c>
      <c r="M16" s="31">
        <f ca="1">364.5439375*OFFSET(M$112,MATCH($N$1,$C$112:$C$113,0)-1,0)</f>
        <v>364.54393750000003</v>
      </c>
      <c r="N16" s="31">
        <v>164.49354687499999</v>
      </c>
      <c r="O16" s="28">
        <f t="shared" ca="1" si="0"/>
        <v>-0.34766245735055185</v>
      </c>
      <c r="P16" s="28">
        <f t="shared" ca="1" si="1"/>
        <v>-0.27158967191535227</v>
      </c>
      <c r="Q16" s="206"/>
    </row>
    <row r="17" spans="1:16" ht="18" customHeight="1">
      <c r="A17" s="174"/>
      <c r="B17" s="35" t="s">
        <v>189</v>
      </c>
      <c r="C17" s="30"/>
      <c r="D17" s="30">
        <v>122.23076629638672</v>
      </c>
      <c r="E17" s="30">
        <v>106.5</v>
      </c>
      <c r="F17" s="30">
        <v>104</v>
      </c>
      <c r="G17" s="30">
        <v>114</v>
      </c>
      <c r="H17" s="30">
        <v>131</v>
      </c>
      <c r="I17" s="30">
        <v>98.75</v>
      </c>
      <c r="J17" s="30">
        <v>128.33332824707031</v>
      </c>
      <c r="K17" s="30">
        <v>138.85714721679688</v>
      </c>
      <c r="L17" s="30">
        <v>130.30000305175781</v>
      </c>
      <c r="M17" s="30">
        <v>138.90908813476563</v>
      </c>
      <c r="N17" s="30">
        <v>104.42857360839844</v>
      </c>
      <c r="O17" s="28">
        <f t="shared" si="0"/>
        <v>-0.14564412240385777</v>
      </c>
      <c r="P17" s="28">
        <f t="shared" si="1"/>
        <v>-0.18627082274878654</v>
      </c>
    </row>
    <row r="18" spans="1:16" ht="18" customHeight="1">
      <c r="A18" s="174"/>
      <c r="B18" s="35" t="s">
        <v>194</v>
      </c>
      <c r="C18" s="30"/>
      <c r="D18" s="30">
        <v>32.846153259277344</v>
      </c>
      <c r="E18" s="30">
        <v>35.416667938232422</v>
      </c>
      <c r="F18" s="30">
        <v>32.799999237060547</v>
      </c>
      <c r="G18" s="30">
        <v>26.799999237060547</v>
      </c>
      <c r="H18" s="30">
        <v>41.444442749023438</v>
      </c>
      <c r="I18" s="30">
        <v>40.083332061767578</v>
      </c>
      <c r="J18" s="30">
        <v>39.866664886474609</v>
      </c>
      <c r="K18" s="30">
        <v>33.928569793701172</v>
      </c>
      <c r="L18" s="30">
        <v>37.400001525878906</v>
      </c>
      <c r="M18" s="30">
        <v>34.818180084228516</v>
      </c>
      <c r="N18" s="30">
        <v>39.142856597900391</v>
      </c>
      <c r="O18" s="28">
        <f t="shared" si="0"/>
        <v>0.19170291537395032</v>
      </c>
      <c r="P18" s="28">
        <f t="shared" si="1"/>
        <v>-1.8155727112748328E-2</v>
      </c>
    </row>
    <row r="19" spans="1:16" ht="18" customHeight="1">
      <c r="A19" s="174"/>
      <c r="B19" s="35" t="s">
        <v>195</v>
      </c>
      <c r="C19" s="36"/>
      <c r="D19" s="36">
        <v>1.3791937828063965</v>
      </c>
      <c r="E19" s="36">
        <v>0.88013523817062378</v>
      </c>
      <c r="F19" s="36">
        <v>1.5536316633224487</v>
      </c>
      <c r="G19" s="36">
        <v>0.83300602436065674</v>
      </c>
      <c r="H19" s="36">
        <v>0.85482108592987061</v>
      </c>
      <c r="I19" s="36">
        <v>0.8672528862953186</v>
      </c>
      <c r="J19" s="36">
        <v>0.77883791923522949</v>
      </c>
      <c r="K19" s="36">
        <v>1.0429061651229858</v>
      </c>
      <c r="L19" s="36">
        <v>1.5212632417678833</v>
      </c>
      <c r="M19" s="36">
        <v>1.2643462419509888</v>
      </c>
      <c r="N19" s="36">
        <v>0.97948753833770752</v>
      </c>
      <c r="O19" s="28">
        <f t="shared" si="0"/>
        <v>-0.28981151847665881</v>
      </c>
      <c r="P19" s="28">
        <f t="shared" si="1"/>
        <v>0.25762692615108351</v>
      </c>
    </row>
    <row r="20" spans="1:16" ht="18" customHeight="1">
      <c r="A20" s="175"/>
      <c r="B20" s="37" t="s">
        <v>196</v>
      </c>
      <c r="C20" s="38"/>
      <c r="D20" s="38">
        <f ca="1">1496*OFFSET(D$112,MATCH($N$1,$C$112:$C$113,0)-1,0)</f>
        <v>1496</v>
      </c>
      <c r="E20" s="38">
        <f ca="1">1809*OFFSET(E$112,MATCH($N$1,$C$112:$C$113,0)-1,0)</f>
        <v>1809</v>
      </c>
      <c r="F20" s="38">
        <f ca="1">928*OFFSET(F$112,MATCH($N$1,$C$112:$C$113,0)-1,0)</f>
        <v>928</v>
      </c>
      <c r="G20" s="38">
        <f ca="1">1406*OFFSET(G$112,MATCH($N$1,$C$112:$C$113,0)-1,0)</f>
        <v>1406</v>
      </c>
      <c r="H20" s="38">
        <f ca="1">1968*OFFSET(H$112,MATCH($N$1,$C$112:$C$113,0)-1,0)</f>
        <v>1968</v>
      </c>
      <c r="I20" s="38">
        <f ca="1">1771*OFFSET(I$112,MATCH($N$1,$C$112:$C$113,0)-1,0)</f>
        <v>1771</v>
      </c>
      <c r="J20" s="38">
        <f ca="1">2259*OFFSET(J$112,MATCH($N$1,$C$112:$C$113,0)-1,0)</f>
        <v>2259</v>
      </c>
      <c r="K20" s="38">
        <f ca="1">2325*OFFSET(K$112,MATCH($N$1,$C$112:$C$113,0)-1,0)</f>
        <v>2325</v>
      </c>
      <c r="L20" s="38">
        <f ca="1">1872*OFFSET(L$112,MATCH($N$1,$C$112:$C$113,0)-1,0)</f>
        <v>1872</v>
      </c>
      <c r="M20" s="38">
        <f ca="1">2076*OFFSET(M$112,MATCH($N$1,$C$112:$C$113,0)-1,0)</f>
        <v>2076</v>
      </c>
      <c r="N20" s="38">
        <v>1608</v>
      </c>
      <c r="O20" s="32">
        <f t="shared" ca="1" si="0"/>
        <v>7.4866310160427801E-2</v>
      </c>
      <c r="P20" s="32">
        <f t="shared" ca="1" si="1"/>
        <v>-0.28818061088977426</v>
      </c>
    </row>
    <row r="21" spans="1:16" ht="18" customHeight="1">
      <c r="A21" s="176" t="s">
        <v>197</v>
      </c>
      <c r="B21" s="33" t="s">
        <v>198</v>
      </c>
      <c r="C21" s="39"/>
      <c r="D21" s="39">
        <v>3.6726602234881476</v>
      </c>
      <c r="E21" s="39">
        <v>3.1766208160997804</v>
      </c>
      <c r="F21" s="39">
        <v>9.0302183956802242</v>
      </c>
      <c r="G21" s="39">
        <v>5.0591183343934532</v>
      </c>
      <c r="H21" s="39">
        <v>4.0653059428622118</v>
      </c>
      <c r="I21" s="39">
        <v>4.2261352852664862</v>
      </c>
      <c r="J21" s="39">
        <v>3.6625630452172468</v>
      </c>
      <c r="K21" s="39">
        <v>3.3285495658737556</v>
      </c>
      <c r="L21" s="39">
        <v>4.0765249479553862</v>
      </c>
      <c r="M21" s="39">
        <v>3.4713440508400826</v>
      </c>
      <c r="N21" s="39">
        <v>2.6434324748556652</v>
      </c>
      <c r="O21" s="28">
        <f t="shared" si="0"/>
        <v>-0.28024039415629975</v>
      </c>
      <c r="P21" s="28">
        <f t="shared" si="1"/>
        <v>-0.27825611676293516</v>
      </c>
    </row>
    <row r="22" spans="1:16" ht="18" customHeight="1">
      <c r="A22" s="176"/>
      <c r="B22" s="35" t="s">
        <v>199</v>
      </c>
      <c r="C22" s="36"/>
      <c r="D22" s="36">
        <f ca="1">5.49352904307688*OFFSET(D$112,MATCH($N$1,$C$112:$C$113,0)-1,0)</f>
        <v>5.4935290430768804</v>
      </c>
      <c r="E22" s="36">
        <f ca="1">5.74537729740163*OFFSET(E$112,MATCH($N$1,$C$112:$C$113,0)-1,0)</f>
        <v>5.7453772974016299</v>
      </c>
      <c r="F22" s="36">
        <f ca="1">8.38187856284581*OFFSET(F$112,MATCH($N$1,$C$112:$C$113,0)-1,0)</f>
        <v>8.3818785628458095</v>
      </c>
      <c r="G22" s="36">
        <f ca="1">7.11172506622152*OFFSET(G$112,MATCH($N$1,$C$112:$C$113,0)-1,0)</f>
        <v>7.1117250662215197</v>
      </c>
      <c r="H22" s="36">
        <f ca="1">7.99967270259521*OFFSET(H$112,MATCH($N$1,$C$112:$C$113,0)-1,0)</f>
        <v>7.9996727025952099</v>
      </c>
      <c r="I22" s="36">
        <f ca="1">7.48309427518207*OFFSET(I$112,MATCH($N$1,$C$112:$C$113,0)-1,0)</f>
        <v>7.4830942751820704</v>
      </c>
      <c r="J22" s="36">
        <f ca="1">8.27506374704668*OFFSET(J$112,MATCH($N$1,$C$112:$C$113,0)-1,0)</f>
        <v>8.2750637470466799</v>
      </c>
      <c r="K22" s="36">
        <f ca="1">7.73909616050748*OFFSET(K$112,MATCH($N$1,$C$112:$C$113,0)-1,0)</f>
        <v>7.7390961605074802</v>
      </c>
      <c r="L22" s="36">
        <f ca="1">7.63269203486447*OFFSET(L$112,MATCH($N$1,$C$112:$C$113,0)-1,0)</f>
        <v>7.63269203486447</v>
      </c>
      <c r="M22" s="36">
        <f ca="1">7.20528002332292*OFFSET(M$112,MATCH($N$1,$C$112:$C$113,0)-1,0)</f>
        <v>7.2052800233229197</v>
      </c>
      <c r="N22" s="36">
        <v>4.2510756818473201</v>
      </c>
      <c r="O22" s="28">
        <f t="shared" ca="1" si="0"/>
        <v>-0.22616670476973985</v>
      </c>
      <c r="P22" s="28">
        <f t="shared" ca="1" si="1"/>
        <v>-0.48627879956036552</v>
      </c>
    </row>
    <row r="23" spans="1:16" ht="18" customHeight="1">
      <c r="A23" s="176"/>
      <c r="B23" s="35" t="s">
        <v>154</v>
      </c>
      <c r="C23" s="36"/>
      <c r="D23" s="36">
        <f ca="1">4.78203869734*OFFSET(D$112,MATCH($N$1,$C$112:$C$113,0)-1,0)</f>
        <v>4.78203869734</v>
      </c>
      <c r="E23" s="36">
        <f ca="1">5.38064878375498*OFFSET(E$112,MATCH($N$1,$C$112:$C$113,0)-1,0)</f>
        <v>5.3806487837549799</v>
      </c>
      <c r="F23" s="36">
        <f ca="1">7.65024236923079*OFFSET(F$112,MATCH($N$1,$C$112:$C$113,0)-1,0)</f>
        <v>7.6502423692307904</v>
      </c>
      <c r="G23" s="36">
        <f ca="1">6.10430624544251*OFFSET(G$112,MATCH($N$1,$C$112:$C$113,0)-1,0)</f>
        <v>6.1043062454425101</v>
      </c>
      <c r="H23" s="36">
        <f ca="1">7.02807304459477*OFFSET(H$112,MATCH($N$1,$C$112:$C$113,0)-1,0)</f>
        <v>7.0280730445947697</v>
      </c>
      <c r="I23" s="36">
        <f ca="1">5.97753421061078*OFFSET(I$112,MATCH($N$1,$C$112:$C$113,0)-1,0)</f>
        <v>5.9775342106107798</v>
      </c>
      <c r="J23" s="36">
        <f ca="1">6.24372656632226*OFFSET(J$112,MATCH($N$1,$C$112:$C$113,0)-1,0)</f>
        <v>6.2437265663222599</v>
      </c>
      <c r="K23" s="36">
        <f ca="1">6.81957157686985*OFFSET(K$112,MATCH($N$1,$C$112:$C$113,0)-1,0)</f>
        <v>6.8195715768698504</v>
      </c>
      <c r="L23" s="36">
        <f ca="1">7.26750955617356*OFFSET(L$112,MATCH($N$1,$C$112:$C$113,0)-1,0)</f>
        <v>7.2675095561735601</v>
      </c>
      <c r="M23" s="36">
        <f ca="1">6.9121145479207*OFFSET(M$112,MATCH($N$1,$C$112:$C$113,0)-1,0)</f>
        <v>6.9121145479206998</v>
      </c>
      <c r="N23" s="36">
        <v>5.5607407925247907</v>
      </c>
      <c r="O23" s="28">
        <f t="shared" ca="1" si="0"/>
        <v>0.16283893637622429</v>
      </c>
      <c r="P23" s="28">
        <f t="shared" ca="1" si="1"/>
        <v>-0.10938752146536873</v>
      </c>
    </row>
    <row r="24" spans="1:16" ht="18" customHeight="1">
      <c r="A24" s="176"/>
      <c r="B24" s="35" t="s">
        <v>155</v>
      </c>
      <c r="C24" s="36"/>
      <c r="D24" s="36">
        <f ca="1">0.721558949291257*OFFSET(D$112,MATCH($N$1,$C$112:$C$113,0)-1,0)</f>
        <v>0.72155894929125697</v>
      </c>
      <c r="E24" s="36">
        <f ca="1">0.371748642744983*OFFSET(E$112,MATCH($N$1,$C$112:$C$113,0)-1,0)</f>
        <v>0.37174864274498298</v>
      </c>
      <c r="F24" s="36">
        <f ca="1">0.746998597129464*OFFSET(F$112,MATCH($N$1,$C$112:$C$113,0)-1,0)</f>
        <v>0.74699859712946404</v>
      </c>
      <c r="G24" s="36">
        <f ca="1">1.01176363842766*OFFSET(G$112,MATCH($N$1,$C$112:$C$113,0)-1,0)</f>
        <v>1.01176363842766</v>
      </c>
      <c r="H24" s="36">
        <f ca="1">0.98137425345029*OFFSET(H$112,MATCH($N$1,$C$112:$C$113,0)-1,0)</f>
        <v>0.98137425345028995</v>
      </c>
      <c r="I24" s="36">
        <f ca="1">1.50556006457129*OFFSET(I$112,MATCH($N$1,$C$112:$C$113,0)-1,0)</f>
        <v>1.5055600645712901</v>
      </c>
      <c r="J24" s="36">
        <f ca="1">2.03133718072442*OFFSET(J$112,MATCH($N$1,$C$112:$C$113,0)-1,0)</f>
        <v>2.03133718072442</v>
      </c>
      <c r="K24" s="36">
        <f ca="1">1.47490925924696*OFFSET(K$112,MATCH($N$1,$C$112:$C$113,0)-1,0)</f>
        <v>1.4749092592469599</v>
      </c>
      <c r="L24" s="36">
        <f ca="1">1.44782661017769*OFFSET(L$112,MATCH($N$1,$C$112:$C$113,0)-1,0)</f>
        <v>1.44782661017769</v>
      </c>
      <c r="M24" s="36">
        <f ca="1">1.66846118116773*OFFSET(M$112,MATCH($N$1,$C$112:$C$113,0)-1,0)</f>
        <v>1.6684611811677299</v>
      </c>
      <c r="N24" s="36">
        <v>-0.24504020872599011</v>
      </c>
      <c r="O24" s="28">
        <f t="shared" ca="1" si="0"/>
        <v>-1.3395983224470822</v>
      </c>
      <c r="P24" s="28">
        <f t="shared" ca="1" si="1"/>
        <v>-1.1206300022720026</v>
      </c>
    </row>
    <row r="25" spans="1:16" ht="18" customHeight="1">
      <c r="A25" s="176"/>
      <c r="B25" s="35" t="s">
        <v>200</v>
      </c>
      <c r="C25" s="31"/>
      <c r="D25" s="31">
        <f ca="1">75.67*OFFSET(D$112,MATCH($N$1,$C$112:$C$113,0)-1,0)</f>
        <v>75.67</v>
      </c>
      <c r="E25" s="31">
        <f ca="1">83.94*OFFSET(E$112,MATCH($N$1,$C$112:$C$113,0)-1,0)</f>
        <v>83.94</v>
      </c>
      <c r="F25" s="31">
        <f ca="1">177.36*OFFSET(F$112,MATCH($N$1,$C$112:$C$113,0)-1,0)</f>
        <v>177.36</v>
      </c>
      <c r="G25" s="31">
        <f ca="1">78.92*OFFSET(G$112,MATCH($N$1,$C$112:$C$113,0)-1,0)</f>
        <v>78.92</v>
      </c>
      <c r="H25" s="31">
        <f ca="1">77.65*OFFSET(H$112,MATCH($N$1,$C$112:$C$113,0)-1,0)</f>
        <v>77.650000000000006</v>
      </c>
      <c r="I25" s="31">
        <f ca="1">93.25*OFFSET(I$112,MATCH($N$1,$C$112:$C$113,0)-1,0)</f>
        <v>93.25</v>
      </c>
      <c r="J25" s="31">
        <f ca="1">53.51*OFFSET(J$112,MATCH($N$1,$C$112:$C$113,0)-1,0)</f>
        <v>53.51</v>
      </c>
      <c r="K25" s="31">
        <f ca="1">72.3*OFFSET(K$112,MATCH($N$1,$C$112:$C$113,0)-1,0)</f>
        <v>72.3</v>
      </c>
      <c r="L25" s="31">
        <f ca="1">124.06*OFFSET(L$112,MATCH($N$1,$C$112:$C$113,0)-1,0)</f>
        <v>124.06</v>
      </c>
      <c r="M25" s="31">
        <f ca="1">132.88*OFFSET(M$112,MATCH($N$1,$C$112:$C$113,0)-1,0)</f>
        <v>132.88</v>
      </c>
      <c r="N25" s="31">
        <v>70.13</v>
      </c>
      <c r="O25" s="28">
        <f t="shared" ca="1" si="0"/>
        <v>-7.3212633804678295E-2</v>
      </c>
      <c r="P25" s="28">
        <f t="shared" ca="1" si="1"/>
        <v>0.31059615025228926</v>
      </c>
    </row>
    <row r="26" spans="1:16" ht="18" customHeight="1">
      <c r="A26" s="177"/>
      <c r="B26" s="35" t="s">
        <v>201</v>
      </c>
      <c r="C26" s="31"/>
      <c r="D26" s="31">
        <f ca="1">9.93*OFFSET(D$112,MATCH($N$1,$C$112:$C$113,0)-1,0)</f>
        <v>9.93</v>
      </c>
      <c r="E26" s="31">
        <f ca="1">5.45*OFFSET(E$112,MATCH($N$1,$C$112:$C$113,0)-1,0)</f>
        <v>5.45</v>
      </c>
      <c r="F26" s="31">
        <f ca="1">15.84*OFFSET(F$112,MATCH($N$1,$C$112:$C$113,0)-1,0)</f>
        <v>15.84</v>
      </c>
      <c r="G26" s="31">
        <f ca="1">11.23*OFFSET(G$112,MATCH($N$1,$C$112:$C$113,0)-1,0)</f>
        <v>11.23</v>
      </c>
      <c r="H26" s="31">
        <f ca="1">9.51*OFFSET(H$112,MATCH($N$1,$C$112:$C$113,0)-1,0)</f>
        <v>9.51</v>
      </c>
      <c r="I26" s="31">
        <f ca="1">18.76*OFFSET(I$112,MATCH($N$1,$C$112:$C$113,0)-1,0)</f>
        <v>18.760000000000002</v>
      </c>
      <c r="J26" s="31">
        <f ca="1">13.13*OFFSET(J$112,MATCH($N$1,$C$112:$C$113,0)-1,0)</f>
        <v>13.13</v>
      </c>
      <c r="K26" s="31">
        <f ca="1">13.79*OFFSET(K$112,MATCH($N$1,$C$112:$C$113,0)-1,0)</f>
        <v>13.79</v>
      </c>
      <c r="L26" s="31">
        <f ca="1">23.54*OFFSET(L$112,MATCH($N$1,$C$112:$C$113,0)-1,0)</f>
        <v>23.54</v>
      </c>
      <c r="M26" s="31">
        <f ca="1">30.77*OFFSET(M$112,MATCH($N$1,$C$112:$C$113,0)-1,0)</f>
        <v>30.77</v>
      </c>
      <c r="N26" s="31">
        <v>-4.05</v>
      </c>
      <c r="O26" s="32">
        <f t="shared" ca="1" si="0"/>
        <v>-1.4078549848942599</v>
      </c>
      <c r="P26" s="32">
        <f t="shared" ca="1" si="1"/>
        <v>-1.3084539223153084</v>
      </c>
    </row>
    <row r="27" spans="1:16" ht="18" customHeight="1">
      <c r="A27" s="166" t="s">
        <v>202</v>
      </c>
      <c r="B27" s="33" t="s">
        <v>193</v>
      </c>
      <c r="C27" s="34"/>
      <c r="D27" s="34">
        <f ca="1">252.2*OFFSET(D$112,MATCH($N$1,$C$112:$C$113,0)-1,0)</f>
        <v>252.2</v>
      </c>
      <c r="E27" s="34">
        <f ca="1">169.5*OFFSET(E$112,MATCH($N$1,$C$112:$C$113,0)-1,0)</f>
        <v>169.5</v>
      </c>
      <c r="F27" s="34">
        <f ca="1">150*OFFSET(F$112,MATCH($N$1,$C$112:$C$113,0)-1,0)</f>
        <v>150</v>
      </c>
      <c r="G27" s="34">
        <f ca="1">133.5*OFFSET(G$112,MATCH($N$1,$C$112:$C$113,0)-1,0)</f>
        <v>133.5</v>
      </c>
      <c r="H27" s="34">
        <f ca="1">220.4*OFFSET(H$112,MATCH($N$1,$C$112:$C$113,0)-1,0)</f>
        <v>220.4</v>
      </c>
      <c r="I27" s="34">
        <f ca="1">151.6*OFFSET(I$112,MATCH($N$1,$C$112:$C$113,0)-1,0)</f>
        <v>151.6</v>
      </c>
      <c r="J27" s="34">
        <f ca="1">225.8*OFFSET(J$112,MATCH($N$1,$C$112:$C$113,0)-1,0)</f>
        <v>225.8</v>
      </c>
      <c r="K27" s="34">
        <f ca="1">336.7*OFFSET(K$112,MATCH($N$1,$C$112:$C$113,0)-1,0)</f>
        <v>336.7</v>
      </c>
      <c r="L27" s="34">
        <f ca="1">371.1*OFFSET(L$112,MATCH($N$1,$C$112:$C$113,0)-1,0)</f>
        <v>371.1</v>
      </c>
      <c r="M27" s="34">
        <f ca="1">364.5*OFFSET(M$112,MATCH($N$1,$C$112:$C$113,0)-1,0)</f>
        <v>364.5</v>
      </c>
      <c r="N27" s="34">
        <v>164.5</v>
      </c>
      <c r="O27" s="28">
        <f t="shared" ca="1" si="0"/>
        <v>-0.34773988897700236</v>
      </c>
      <c r="P27" s="28">
        <f t="shared" ca="1" si="1"/>
        <v>-0.27147918511957486</v>
      </c>
    </row>
    <row r="28" spans="1:16" ht="18" customHeight="1">
      <c r="A28" s="178"/>
      <c r="B28" s="35" t="s">
        <v>203</v>
      </c>
      <c r="C28" s="31"/>
      <c r="D28" s="31">
        <f ca="1">0.5*OFFSET(D$112,MATCH($N$1,$C$112:$C$113,0)-1,0)</f>
        <v>0.5</v>
      </c>
      <c r="E28" s="31">
        <f ca="1">0.2*OFFSET(E$112,MATCH($N$1,$C$112:$C$113,0)-1,0)</f>
        <v>0.2</v>
      </c>
      <c r="F28" s="31">
        <f ca="1">0.3*OFFSET(F$112,MATCH($N$1,$C$112:$C$113,0)-1,0)</f>
        <v>0.3</v>
      </c>
      <c r="G28" s="31">
        <f ca="1">0.1*OFFSET(G$112,MATCH($N$1,$C$112:$C$113,0)-1,0)</f>
        <v>0.1</v>
      </c>
      <c r="H28" s="31">
        <f ca="1">0.3*OFFSET(H$112,MATCH($N$1,$C$112:$C$113,0)-1,0)</f>
        <v>0.3</v>
      </c>
      <c r="I28" s="31"/>
      <c r="J28" s="31"/>
      <c r="K28" s="31">
        <f ca="1">24.2*OFFSET(K$112,MATCH($N$1,$C$112:$C$113,0)-1,0)</f>
        <v>24.2</v>
      </c>
      <c r="L28" s="31">
        <f ca="1">52.6*OFFSET(L$112,MATCH($N$1,$C$112:$C$113,0)-1,0)</f>
        <v>52.6</v>
      </c>
      <c r="M28" s="31">
        <f ca="1">69.6*OFFSET(M$112,MATCH($N$1,$C$112:$C$113,0)-1,0)</f>
        <v>69.599999999999994</v>
      </c>
      <c r="N28" s="31">
        <v>41.2</v>
      </c>
      <c r="O28" s="28">
        <f t="shared" ca="1" si="0"/>
        <v>81.400000000000006</v>
      </c>
      <c r="P28" s="28" t="str">
        <f t="shared" si="1"/>
        <v/>
      </c>
    </row>
    <row r="29" spans="1:16" ht="18" customHeight="1">
      <c r="A29" s="178"/>
      <c r="B29" s="40" t="s">
        <v>204</v>
      </c>
      <c r="C29" s="41"/>
      <c r="D29" s="41">
        <f ca="1">252.6*OFFSET(D$112,MATCH($N$1,$C$112:$C$113,0)-1,0)</f>
        <v>252.6</v>
      </c>
      <c r="E29" s="41">
        <f ca="1">169.7*OFFSET(E$112,MATCH($N$1,$C$112:$C$113,0)-1,0)</f>
        <v>169.7</v>
      </c>
      <c r="F29" s="41">
        <f ca="1">150.3*OFFSET(F$112,MATCH($N$1,$C$112:$C$113,0)-1,0)</f>
        <v>150.30000000000001</v>
      </c>
      <c r="G29" s="41">
        <f ca="1">133.6*OFFSET(G$112,MATCH($N$1,$C$112:$C$113,0)-1,0)</f>
        <v>133.6</v>
      </c>
      <c r="H29" s="41">
        <f ca="1">220.6*OFFSET(H$112,MATCH($N$1,$C$112:$C$113,0)-1,0)</f>
        <v>220.6</v>
      </c>
      <c r="I29" s="41">
        <f ca="1">151.6*OFFSET(I$112,MATCH($N$1,$C$112:$C$113,0)-1,0)</f>
        <v>151.6</v>
      </c>
      <c r="J29" s="41">
        <f ca="1">225.8*OFFSET(J$112,MATCH($N$1,$C$112:$C$113,0)-1,0)</f>
        <v>225.8</v>
      </c>
      <c r="K29" s="41">
        <f ca="1">360.9*OFFSET(K$112,MATCH($N$1,$C$112:$C$113,0)-1,0)</f>
        <v>360.9</v>
      </c>
      <c r="L29" s="41">
        <f ca="1">423.8*OFFSET(L$112,MATCH($N$1,$C$112:$C$113,0)-1,0)</f>
        <v>423.8</v>
      </c>
      <c r="M29" s="41">
        <f ca="1">434.1*OFFSET(M$112,MATCH($N$1,$C$112:$C$113,0)-1,0)</f>
        <v>434.1</v>
      </c>
      <c r="N29" s="41">
        <v>205.70000000000002</v>
      </c>
      <c r="O29" s="28">
        <f t="shared" ca="1" si="0"/>
        <v>-0.1856690419635787</v>
      </c>
      <c r="P29" s="28">
        <f t="shared" ca="1" si="1"/>
        <v>-8.9016829052258606E-2</v>
      </c>
    </row>
    <row r="30" spans="1:16" ht="18" customHeight="1">
      <c r="A30" s="178"/>
      <c r="B30" s="35" t="s">
        <v>205</v>
      </c>
      <c r="C30" s="31"/>
      <c r="D30" s="31">
        <f ca="1">52.4*OFFSET(D$112,MATCH($N$1,$C$112:$C$113,0)-1,0)</f>
        <v>52.4</v>
      </c>
      <c r="E30" s="31">
        <f ca="1">51.6*OFFSET(E$112,MATCH($N$1,$C$112:$C$113,0)-1,0)</f>
        <v>51.6</v>
      </c>
      <c r="F30" s="31">
        <f ca="1">39.8*OFFSET(F$112,MATCH($N$1,$C$112:$C$113,0)-1,0)</f>
        <v>39.799999999999997</v>
      </c>
      <c r="G30" s="31">
        <f ca="1">37*OFFSET(G$112,MATCH($N$1,$C$112:$C$113,0)-1,0)</f>
        <v>37</v>
      </c>
      <c r="H30" s="31">
        <f ca="1">45.6*OFFSET(H$112,MATCH($N$1,$C$112:$C$113,0)-1,0)</f>
        <v>45.6</v>
      </c>
      <c r="I30" s="31">
        <f ca="1">24.3*OFFSET(I$112,MATCH($N$1,$C$112:$C$113,0)-1,0)</f>
        <v>24.3</v>
      </c>
      <c r="J30" s="31">
        <f ca="1">30.5*OFFSET(J$112,MATCH($N$1,$C$112:$C$113,0)-1,0)</f>
        <v>30.5</v>
      </c>
      <c r="K30" s="31">
        <f ca="1">48.4*OFFSET(K$112,MATCH($N$1,$C$112:$C$113,0)-1,0)</f>
        <v>48.4</v>
      </c>
      <c r="L30" s="31">
        <f ca="1">59.7*OFFSET(L$112,MATCH($N$1,$C$112:$C$113,0)-1,0)</f>
        <v>59.7</v>
      </c>
      <c r="M30" s="31">
        <f ca="1">58.6*OFFSET(M$112,MATCH($N$1,$C$112:$C$113,0)-1,0)</f>
        <v>58.6</v>
      </c>
      <c r="N30" s="31">
        <v>35.5</v>
      </c>
      <c r="O30" s="28">
        <f t="shared" ca="1" si="0"/>
        <v>-0.3225190839694656</v>
      </c>
      <c r="P30" s="28">
        <f t="shared" ca="1" si="1"/>
        <v>0.16393442622950818</v>
      </c>
    </row>
    <row r="31" spans="1:16" ht="18" customHeight="1">
      <c r="A31" s="178"/>
      <c r="B31" s="35" t="s">
        <v>206</v>
      </c>
      <c r="C31" s="31"/>
      <c r="D31" s="31">
        <f ca="1">38.9*OFFSET(D$112,MATCH($N$1,$C$112:$C$113,0)-1,0)</f>
        <v>38.9</v>
      </c>
      <c r="E31" s="31">
        <f ca="1">32*OFFSET(E$112,MATCH($N$1,$C$112:$C$113,0)-1,0)</f>
        <v>32</v>
      </c>
      <c r="F31" s="31">
        <f ca="1">20.8*OFFSET(F$112,MATCH($N$1,$C$112:$C$113,0)-1,0)</f>
        <v>20.8</v>
      </c>
      <c r="G31" s="31">
        <f ca="1">36.3*OFFSET(G$112,MATCH($N$1,$C$112:$C$113,0)-1,0)</f>
        <v>36.299999999999997</v>
      </c>
      <c r="H31" s="31">
        <f ca="1">36.7*OFFSET(H$112,MATCH($N$1,$C$112:$C$113,0)-1,0)</f>
        <v>36.700000000000003</v>
      </c>
      <c r="I31" s="31">
        <f ca="1">34.8*OFFSET(I$112,MATCH($N$1,$C$112:$C$113,0)-1,0)</f>
        <v>34.799999999999997</v>
      </c>
      <c r="J31" s="31">
        <f ca="1">24.6*OFFSET(J$112,MATCH($N$1,$C$112:$C$113,0)-1,0)</f>
        <v>24.6</v>
      </c>
      <c r="K31" s="31">
        <f ca="1">84.9*OFFSET(K$112,MATCH($N$1,$C$112:$C$113,0)-1,0)</f>
        <v>84.9</v>
      </c>
      <c r="L31" s="31">
        <f ca="1">111.6*OFFSET(L$112,MATCH($N$1,$C$112:$C$113,0)-1,0)</f>
        <v>111.6</v>
      </c>
      <c r="M31" s="31">
        <f ca="1">106.9*OFFSET(M$112,MATCH($N$1,$C$112:$C$113,0)-1,0)</f>
        <v>106.9</v>
      </c>
      <c r="N31" s="31">
        <v>37.1</v>
      </c>
      <c r="O31" s="28">
        <f t="shared" ca="1" si="0"/>
        <v>-4.6272493573264711E-2</v>
      </c>
      <c r="P31" s="28">
        <f t="shared" ca="1" si="1"/>
        <v>0.50813008130081294</v>
      </c>
    </row>
    <row r="32" spans="1:16" ht="18" customHeight="1">
      <c r="A32" s="178"/>
      <c r="B32" s="35" t="s">
        <v>207</v>
      </c>
      <c r="C32" s="31"/>
      <c r="D32" s="31">
        <f ca="1">52.9*OFFSET(D$112,MATCH($N$1,$C$112:$C$113,0)-1,0)</f>
        <v>52.9</v>
      </c>
      <c r="E32" s="31">
        <f ca="1">30.5*OFFSET(E$112,MATCH($N$1,$C$112:$C$113,0)-1,0)</f>
        <v>30.5</v>
      </c>
      <c r="F32" s="31">
        <f ca="1">31.5*OFFSET(F$112,MATCH($N$1,$C$112:$C$113,0)-1,0)</f>
        <v>31.5</v>
      </c>
      <c r="G32" s="31">
        <f ca="1">17.7*OFFSET(G$112,MATCH($N$1,$C$112:$C$113,0)-1,0)</f>
        <v>17.7</v>
      </c>
      <c r="H32" s="31">
        <f ca="1">56.7*OFFSET(H$112,MATCH($N$1,$C$112:$C$113,0)-1,0)</f>
        <v>56.7</v>
      </c>
      <c r="I32" s="31">
        <f ca="1">15.7*OFFSET(I$112,MATCH($N$1,$C$112:$C$113,0)-1,0)</f>
        <v>15.7</v>
      </c>
      <c r="J32" s="31">
        <f ca="1">37.6*OFFSET(J$112,MATCH($N$1,$C$112:$C$113,0)-1,0)</f>
        <v>37.6</v>
      </c>
      <c r="K32" s="31">
        <f ca="1">57.6*OFFSET(K$112,MATCH($N$1,$C$112:$C$113,0)-1,0)</f>
        <v>57.6</v>
      </c>
      <c r="L32" s="31">
        <f ca="1">77.9*OFFSET(L$112,MATCH($N$1,$C$112:$C$113,0)-1,0)</f>
        <v>77.900000000000006</v>
      </c>
      <c r="M32" s="31">
        <f ca="1">66*OFFSET(M$112,MATCH($N$1,$C$112:$C$113,0)-1,0)</f>
        <v>66</v>
      </c>
      <c r="N32" s="31">
        <v>28.1</v>
      </c>
      <c r="O32" s="28">
        <f t="shared" ca="1" si="0"/>
        <v>-0.46880907372400754</v>
      </c>
      <c r="P32" s="28">
        <f t="shared" ca="1" si="1"/>
        <v>-0.25265957446808512</v>
      </c>
    </row>
    <row r="33" spans="1:16" ht="18" customHeight="1">
      <c r="A33" s="178"/>
      <c r="B33" s="35" t="s">
        <v>208</v>
      </c>
      <c r="C33" s="31"/>
      <c r="D33" s="31">
        <f ca="1">144.2*OFFSET(D$112,MATCH($N$1,$C$112:$C$113,0)-1,0)</f>
        <v>144.19999999999999</v>
      </c>
      <c r="E33" s="31">
        <f ca="1">114.1*OFFSET(E$112,MATCH($N$1,$C$112:$C$113,0)-1,0)</f>
        <v>114.1</v>
      </c>
      <c r="F33" s="31">
        <f ca="1">92.1*OFFSET(F$112,MATCH($N$1,$C$112:$C$113,0)-1,0)</f>
        <v>92.1</v>
      </c>
      <c r="G33" s="31">
        <f ca="1">91*OFFSET(G$112,MATCH($N$1,$C$112:$C$113,0)-1,0)</f>
        <v>91</v>
      </c>
      <c r="H33" s="31">
        <f ca="1">139.1*OFFSET(H$112,MATCH($N$1,$C$112:$C$113,0)-1,0)</f>
        <v>139.1</v>
      </c>
      <c r="I33" s="31">
        <f ca="1">74.8*OFFSET(I$112,MATCH($N$1,$C$112:$C$113,0)-1,0)</f>
        <v>74.8</v>
      </c>
      <c r="J33" s="31">
        <f ca="1">92.7*OFFSET(J$112,MATCH($N$1,$C$112:$C$113,0)-1,0)</f>
        <v>92.7</v>
      </c>
      <c r="K33" s="31">
        <f ca="1">190.8*OFFSET(K$112,MATCH($N$1,$C$112:$C$113,0)-1,0)</f>
        <v>190.8</v>
      </c>
      <c r="L33" s="31">
        <f ca="1">249.3*OFFSET(L$112,MATCH($N$1,$C$112:$C$113,0)-1,0)</f>
        <v>249.3</v>
      </c>
      <c r="M33" s="31">
        <f ca="1">231.6*OFFSET(M$112,MATCH($N$1,$C$112:$C$113,0)-1,0)</f>
        <v>231.6</v>
      </c>
      <c r="N33" s="31">
        <v>100.7</v>
      </c>
      <c r="O33" s="28">
        <f t="shared" ca="1" si="0"/>
        <v>-0.30166435506241324</v>
      </c>
      <c r="P33" s="28">
        <f t="shared" ca="1" si="1"/>
        <v>8.6299892125134836E-2</v>
      </c>
    </row>
    <row r="34" spans="1:16" ht="18" customHeight="1">
      <c r="A34" s="178"/>
      <c r="B34" s="35" t="s">
        <v>209</v>
      </c>
      <c r="C34" s="31"/>
      <c r="D34" s="31">
        <f ca="1">75.3*OFFSET(D$112,MATCH($N$1,$C$112:$C$113,0)-1,0)</f>
        <v>75.3</v>
      </c>
      <c r="E34" s="31">
        <f ca="1">44.7*OFFSET(E$112,MATCH($N$1,$C$112:$C$113,0)-1,0)</f>
        <v>44.7</v>
      </c>
      <c r="F34" s="31">
        <f ca="1">44.8*OFFSET(F$112,MATCH($N$1,$C$112:$C$113,0)-1,0)</f>
        <v>44.8</v>
      </c>
      <c r="G34" s="31">
        <f ca="1">23.6*OFFSET(G$112,MATCH($N$1,$C$112:$C$113,0)-1,0)</f>
        <v>23.6</v>
      </c>
      <c r="H34" s="31">
        <f ca="1">54.5*OFFSET(H$112,MATCH($N$1,$C$112:$C$113,0)-1,0)</f>
        <v>54.5</v>
      </c>
      <c r="I34" s="31">
        <f ca="1">46.3*OFFSET(I$112,MATCH($N$1,$C$112:$C$113,0)-1,0)</f>
        <v>46.3</v>
      </c>
      <c r="J34" s="31">
        <f ca="1">77.7*OFFSET(J$112,MATCH($N$1,$C$112:$C$113,0)-1,0)</f>
        <v>77.7</v>
      </c>
      <c r="K34" s="31">
        <f ca="1">105.9*OFFSET(K$112,MATCH($N$1,$C$112:$C$113,0)-1,0)</f>
        <v>105.9</v>
      </c>
      <c r="L34" s="31">
        <f ca="1">104.1*OFFSET(L$112,MATCH($N$1,$C$112:$C$113,0)-1,0)</f>
        <v>104.1</v>
      </c>
      <c r="M34" s="31">
        <f ca="1">118.1*OFFSET(M$112,MATCH($N$1,$C$112:$C$113,0)-1,0)</f>
        <v>118.1</v>
      </c>
      <c r="N34" s="31">
        <v>114.5</v>
      </c>
      <c r="O34" s="28">
        <f t="shared" ca="1" si="0"/>
        <v>0.52058432934926968</v>
      </c>
      <c r="P34" s="28">
        <f t="shared" ca="1" si="1"/>
        <v>0.47361647361647358</v>
      </c>
    </row>
    <row r="35" spans="1:16" ht="18" customHeight="1">
      <c r="A35" s="178"/>
      <c r="B35" s="35" t="s">
        <v>210</v>
      </c>
      <c r="C35" s="31"/>
      <c r="D35" s="31">
        <f ca="1">219.5*OFFSET(D$112,MATCH($N$1,$C$112:$C$113,0)-1,0)</f>
        <v>219.5</v>
      </c>
      <c r="E35" s="31">
        <f ca="1">158.8*OFFSET(E$112,MATCH($N$1,$C$112:$C$113,0)-1,0)</f>
        <v>158.80000000000001</v>
      </c>
      <c r="F35" s="31">
        <f ca="1">136.9*OFFSET(F$112,MATCH($N$1,$C$112:$C$113,0)-1,0)</f>
        <v>136.9</v>
      </c>
      <c r="G35" s="31">
        <f ca="1">114.6*OFFSET(G$112,MATCH($N$1,$C$112:$C$113,0)-1,0)</f>
        <v>114.6</v>
      </c>
      <c r="H35" s="31">
        <f ca="1">193.6*OFFSET(H$112,MATCH($N$1,$C$112:$C$113,0)-1,0)</f>
        <v>193.6</v>
      </c>
      <c r="I35" s="31">
        <f ca="1">121.1*OFFSET(I$112,MATCH($N$1,$C$112:$C$113,0)-1,0)</f>
        <v>121.1</v>
      </c>
      <c r="J35" s="31">
        <f ca="1">170.4*OFFSET(J$112,MATCH($N$1,$C$112:$C$113,0)-1,0)</f>
        <v>170.4</v>
      </c>
      <c r="K35" s="31">
        <f ca="1">296.7*OFFSET(K$112,MATCH($N$1,$C$112:$C$113,0)-1,0)</f>
        <v>296.7</v>
      </c>
      <c r="L35" s="31">
        <f ca="1">353.4*OFFSET(L$112,MATCH($N$1,$C$112:$C$113,0)-1,0)</f>
        <v>353.4</v>
      </c>
      <c r="M35" s="31">
        <f ca="1">349.7*OFFSET(M$112,MATCH($N$1,$C$112:$C$113,0)-1,0)</f>
        <v>349.7</v>
      </c>
      <c r="N35" s="31">
        <v>215.20000000000002</v>
      </c>
      <c r="O35" s="28">
        <f t="shared" ca="1" si="0"/>
        <v>-1.9589977220956643E-2</v>
      </c>
      <c r="P35" s="28">
        <f t="shared" ca="1" si="1"/>
        <v>0.2629107981220658</v>
      </c>
    </row>
    <row r="36" spans="1:16" ht="18" customHeight="1">
      <c r="A36" s="178"/>
      <c r="B36" s="40" t="s">
        <v>211</v>
      </c>
      <c r="C36" s="41"/>
      <c r="D36" s="41">
        <f ca="1">72*OFFSET(D$112,MATCH($N$1,$C$112:$C$113,0)-1,0)</f>
        <v>72</v>
      </c>
      <c r="E36" s="41">
        <f ca="1">43*OFFSET(E$112,MATCH($N$1,$C$112:$C$113,0)-1,0)</f>
        <v>43</v>
      </c>
      <c r="F36" s="41">
        <f ca="1">34.2*OFFSET(F$112,MATCH($N$1,$C$112:$C$113,0)-1,0)</f>
        <v>34.200000000000003</v>
      </c>
      <c r="G36" s="41">
        <f ca="1">55.3*OFFSET(G$112,MATCH($N$1,$C$112:$C$113,0)-1,0)</f>
        <v>55.3</v>
      </c>
      <c r="H36" s="41">
        <f ca="1">63.7*OFFSET(H$112,MATCH($N$1,$C$112:$C$113,0)-1,0)</f>
        <v>63.7</v>
      </c>
      <c r="I36" s="41">
        <f ca="1">65.3*OFFSET(I$112,MATCH($N$1,$C$112:$C$113,0)-1,0)</f>
        <v>65.3</v>
      </c>
      <c r="J36" s="41">
        <f ca="1">80*OFFSET(J$112,MATCH($N$1,$C$112:$C$113,0)-1,0)</f>
        <v>80</v>
      </c>
      <c r="K36" s="41">
        <f ca="1">149.1*OFFSET(K$112,MATCH($N$1,$C$112:$C$113,0)-1,0)</f>
        <v>149.1</v>
      </c>
      <c r="L36" s="41">
        <f ca="1">182*OFFSET(L$112,MATCH($N$1,$C$112:$C$113,0)-1,0)</f>
        <v>182</v>
      </c>
      <c r="M36" s="41">
        <f ca="1">191.3*OFFSET(M$112,MATCH($N$1,$C$112:$C$113,0)-1,0)</f>
        <v>191.3</v>
      </c>
      <c r="N36" s="41">
        <v>27.6</v>
      </c>
      <c r="O36" s="28">
        <f t="shared" ca="1" si="0"/>
        <v>-0.6166666666666667</v>
      </c>
      <c r="P36" s="28">
        <f t="shared" ca="1" si="1"/>
        <v>-0.65500000000000003</v>
      </c>
    </row>
    <row r="37" spans="1:16" ht="18" customHeight="1">
      <c r="A37" s="178"/>
      <c r="B37" s="40" t="s">
        <v>212</v>
      </c>
      <c r="C37" s="41"/>
      <c r="D37" s="41">
        <f ca="1">33.1*OFFSET(D$112,MATCH($N$1,$C$112:$C$113,0)-1,0)</f>
        <v>33.1</v>
      </c>
      <c r="E37" s="41">
        <f ca="1">11*OFFSET(E$112,MATCH($N$1,$C$112:$C$113,0)-1,0)</f>
        <v>11</v>
      </c>
      <c r="F37" s="41">
        <f ca="1">13.4*OFFSET(F$112,MATCH($N$1,$C$112:$C$113,0)-1,0)</f>
        <v>13.4</v>
      </c>
      <c r="G37" s="41">
        <f ca="1">19*OFFSET(G$112,MATCH($N$1,$C$112:$C$113,0)-1,0)</f>
        <v>19</v>
      </c>
      <c r="H37" s="41">
        <f ca="1">27*OFFSET(H$112,MATCH($N$1,$C$112:$C$113,0)-1,0)</f>
        <v>27</v>
      </c>
      <c r="I37" s="41">
        <f ca="1">30.5*OFFSET(I$112,MATCH($N$1,$C$112:$C$113,0)-1,0)</f>
        <v>30.5</v>
      </c>
      <c r="J37" s="41">
        <f ca="1">55.4*OFFSET(J$112,MATCH($N$1,$C$112:$C$113,0)-1,0)</f>
        <v>55.4</v>
      </c>
      <c r="K37" s="41">
        <f ca="1">64.2*OFFSET(K$112,MATCH($N$1,$C$112:$C$113,0)-1,0)</f>
        <v>64.2</v>
      </c>
      <c r="L37" s="41">
        <f ca="1">70.4*OFFSET(L$112,MATCH($N$1,$C$112:$C$113,0)-1,0)</f>
        <v>70.400000000000006</v>
      </c>
      <c r="M37" s="41">
        <f ca="1">84.4*OFFSET(M$112,MATCH($N$1,$C$112:$C$113,0)-1,0)</f>
        <v>84.4</v>
      </c>
      <c r="N37" s="41">
        <v>-9.5</v>
      </c>
      <c r="O37" s="28">
        <f t="shared" ca="1" si="0"/>
        <v>-1.2870090634441087</v>
      </c>
      <c r="P37" s="28">
        <f t="shared" ca="1" si="1"/>
        <v>-1.1714801444043323</v>
      </c>
    </row>
    <row r="38" spans="1:16" ht="18" customHeight="1">
      <c r="A38" s="178"/>
      <c r="B38" s="35" t="s">
        <v>213</v>
      </c>
      <c r="C38" s="31"/>
      <c r="D38" s="31">
        <f ca="1">13.3*OFFSET(D$112,MATCH($N$1,$C$112:$C$113,0)-1,0)</f>
        <v>13.3</v>
      </c>
      <c r="E38" s="31">
        <f ca="1">14*OFFSET(E$112,MATCH($N$1,$C$112:$C$113,0)-1,0)</f>
        <v>14</v>
      </c>
      <c r="F38" s="31"/>
      <c r="G38" s="31">
        <f ca="1">6.1*OFFSET(G$112,MATCH($N$1,$C$112:$C$113,0)-1,0)</f>
        <v>6.1</v>
      </c>
      <c r="H38" s="31">
        <f ca="1">2*OFFSET(H$112,MATCH($N$1,$C$112:$C$113,0)-1,0)</f>
        <v>2</v>
      </c>
      <c r="I38" s="31">
        <f ca="1">3.9*OFFSET(I$112,MATCH($N$1,$C$112:$C$113,0)-1,0)</f>
        <v>3.9</v>
      </c>
      <c r="J38" s="31"/>
      <c r="K38" s="31">
        <f ca="1">2.7*OFFSET(K$112,MATCH($N$1,$C$112:$C$113,0)-1,0)</f>
        <v>2.7</v>
      </c>
      <c r="L38" s="31">
        <f ca="1">5*OFFSET(L$112,MATCH($N$1,$C$112:$C$113,0)-1,0)</f>
        <v>5</v>
      </c>
      <c r="M38" s="31">
        <f ca="1">9.3*OFFSET(M$112,MATCH($N$1,$C$112:$C$113,0)-1,0)</f>
        <v>9.3000000000000007</v>
      </c>
      <c r="N38" s="31"/>
      <c r="O38" s="28" t="str">
        <f t="shared" si="0"/>
        <v/>
      </c>
      <c r="P38" s="28" t="str">
        <f t="shared" si="1"/>
        <v/>
      </c>
    </row>
    <row r="39" spans="1:16" ht="18" customHeight="1">
      <c r="A39" s="178"/>
      <c r="B39" s="35" t="s">
        <v>214</v>
      </c>
      <c r="C39" s="31"/>
      <c r="D39" s="31">
        <f ca="1">1.9*OFFSET(D$112,MATCH($N$1,$C$112:$C$113,0)-1,0)</f>
        <v>1.9</v>
      </c>
      <c r="E39" s="31"/>
      <c r="F39" s="31"/>
      <c r="G39" s="31">
        <f ca="1">0.4*OFFSET(G$112,MATCH($N$1,$C$112:$C$113,0)-1,0)</f>
        <v>0.4</v>
      </c>
      <c r="H39" s="31"/>
      <c r="I39" s="31">
        <f ca="1">8*OFFSET(I$112,MATCH($N$1,$C$112:$C$113,0)-1,0)</f>
        <v>8</v>
      </c>
      <c r="J39" s="31">
        <f ca="1">8.5*OFFSET(J$112,MATCH($N$1,$C$112:$C$113,0)-1,0)</f>
        <v>8.5</v>
      </c>
      <c r="K39" s="31">
        <f ca="1">9.8*OFFSET(K$112,MATCH($N$1,$C$112:$C$113,0)-1,0)</f>
        <v>9.8000000000000007</v>
      </c>
      <c r="L39" s="31">
        <f ca="1">7.2*OFFSET(L$112,MATCH($N$1,$C$112:$C$113,0)-1,0)</f>
        <v>7.2</v>
      </c>
      <c r="M39" s="31"/>
      <c r="N39" s="31"/>
      <c r="O39" s="28" t="str">
        <f t="shared" si="0"/>
        <v/>
      </c>
      <c r="P39" s="28" t="str">
        <f t="shared" si="1"/>
        <v/>
      </c>
    </row>
    <row r="40" spans="1:16" ht="18" customHeight="1">
      <c r="A40" s="178"/>
      <c r="B40" s="35" t="s">
        <v>215</v>
      </c>
      <c r="C40" s="31"/>
      <c r="D40" s="31"/>
      <c r="E40" s="31"/>
      <c r="F40" s="31"/>
      <c r="G40" s="31"/>
      <c r="H40" s="31"/>
      <c r="I40" s="31"/>
      <c r="J40" s="31"/>
      <c r="K40" s="31">
        <f ca="1">1.5*OFFSET(K$112,MATCH($N$1,$C$112:$C$113,0)-1,0)</f>
        <v>1.5</v>
      </c>
      <c r="L40" s="31">
        <f ca="1">0.7*OFFSET(L$112,MATCH($N$1,$C$112:$C$113,0)-1,0)</f>
        <v>0.7</v>
      </c>
      <c r="M40" s="31">
        <f ca="1">7.2*OFFSET(M$112,MATCH($N$1,$C$112:$C$113,0)-1,0)</f>
        <v>7.2</v>
      </c>
      <c r="N40" s="31"/>
      <c r="O40" s="28" t="str">
        <f t="shared" si="0"/>
        <v/>
      </c>
      <c r="P40" s="28" t="str">
        <f t="shared" si="1"/>
        <v/>
      </c>
    </row>
    <row r="41" spans="1:16" ht="18" customHeight="1" thickBot="1">
      <c r="A41" s="179"/>
      <c r="B41" s="42" t="s">
        <v>216</v>
      </c>
      <c r="C41" s="43"/>
      <c r="D41" s="43">
        <f ca="1">17.9*OFFSET(D$112,MATCH($N$1,$C$112:$C$113,0)-1,0)</f>
        <v>17.899999999999999</v>
      </c>
      <c r="E41" s="43">
        <f ca="1">-3*OFFSET(E$112,MATCH($N$1,$C$112:$C$113,0)-1,0)</f>
        <v>-3</v>
      </c>
      <c r="F41" s="43"/>
      <c r="G41" s="43">
        <f ca="1">12.5*OFFSET(G$112,MATCH($N$1,$C$112:$C$113,0)-1,0)</f>
        <v>12.5</v>
      </c>
      <c r="H41" s="43">
        <f ca="1">25*OFFSET(H$112,MATCH($N$1,$C$112:$C$113,0)-1,0)</f>
        <v>25</v>
      </c>
      <c r="I41" s="43">
        <f ca="1">18.6*OFFSET(I$112,MATCH($N$1,$C$112:$C$113,0)-1,0)</f>
        <v>18.600000000000001</v>
      </c>
      <c r="J41" s="43">
        <f ca="1">46.9*OFFSET(J$112,MATCH($N$1,$C$112:$C$113,0)-1,0)</f>
        <v>46.9</v>
      </c>
      <c r="K41" s="43">
        <f ca="1">50.1*OFFSET(K$112,MATCH($N$1,$C$112:$C$113,0)-1,0)</f>
        <v>50.1</v>
      </c>
      <c r="L41" s="43">
        <f ca="1">57.4*OFFSET(L$112,MATCH($N$1,$C$112:$C$113,0)-1,0)</f>
        <v>57.4</v>
      </c>
      <c r="M41" s="43">
        <f ca="1">67.9*OFFSET(M$112,MATCH($N$1,$C$112:$C$113,0)-1,0)</f>
        <v>67.900000000000006</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158</v>
      </c>
      <c r="F46" s="90" t="s">
        <v>158</v>
      </c>
      <c r="G46" s="90" t="s">
        <v>159</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Area VIIA demersal trawl</v>
      </c>
      <c r="B48" s="202"/>
      <c r="C48" s="92"/>
      <c r="D48" s="92"/>
      <c r="E48" s="92"/>
      <c r="F48" s="92"/>
      <c r="G48" s="92"/>
      <c r="H48" s="202"/>
      <c r="I48" s="202"/>
      <c r="J48" s="202"/>
      <c r="K48" s="92" t="str">
        <f>$B24&amp;CHAR(10)&amp;$A$1</f>
        <v>Operating profit per kW day at sea (£)
Area VIIA demersal trawl</v>
      </c>
      <c r="L48" s="202"/>
      <c r="M48" s="202"/>
      <c r="N48" s="202"/>
      <c r="O48" s="202"/>
      <c r="P48" s="202"/>
    </row>
    <row r="49" spans="1:11" s="80" customFormat="1">
      <c r="A49" s="92" t="str">
        <f>$B22&amp;CHAR(10)&amp;$A$1</f>
        <v>Fishing income per kW day at sea (£)
Area VIIA demersal trawl</v>
      </c>
      <c r="B49" s="202"/>
      <c r="C49" s="202"/>
      <c r="D49" s="202"/>
      <c r="E49" s="202"/>
      <c r="F49" s="202"/>
      <c r="G49" s="202"/>
      <c r="H49" s="202"/>
      <c r="I49" s="202"/>
      <c r="J49" s="202"/>
      <c r="K49" s="202"/>
    </row>
    <row r="50" spans="1:11" s="80" customFormat="1">
      <c r="A50" s="92" t="str">
        <f>$B20&amp;CHAR(10)&amp;$A$1</f>
        <v>Average price per tonne landed (£)
Area VIIA demersal trawl</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Area VIIA demersal trawl</v>
      </c>
      <c r="C62" s="202"/>
      <c r="D62" s="202"/>
      <c r="E62" s="202"/>
      <c r="F62" s="92" t="str">
        <f>$B20&amp;CHAR(10)&amp;$A$1</f>
        <v>Average price per tonne landed (£)
Area VIIA demersal trawl</v>
      </c>
      <c r="G62" s="202"/>
      <c r="H62" s="202"/>
      <c r="I62" s="202"/>
      <c r="J62" s="202"/>
      <c r="K62" s="92" t="str">
        <f>"Average annual operating profit per vessel (£'000)"&amp;CHAR(10)&amp;$A$1</f>
        <v>Average annual operating profit per vessel (£'000)
Area VIIA demersal trawl</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Area VIIA demersal trawl</v>
      </c>
      <c r="F76" s="92" t="str">
        <f>"Top 5 landed species by value in "&amp;A77&amp;CHAR(10)&amp;A1</f>
        <v>Top 5 landed species by value in 2019
Area VIIA demersal trawl</v>
      </c>
    </row>
    <row r="77" spans="1:11" s="92" customFormat="1">
      <c r="A77" s="92">
        <v>2019</v>
      </c>
      <c r="B77" s="92" t="s">
        <v>228</v>
      </c>
      <c r="C77" s="93">
        <v>0.52377129027718861</v>
      </c>
      <c r="D77" s="94">
        <v>12153634</v>
      </c>
      <c r="G77" s="92" t="s">
        <v>229</v>
      </c>
      <c r="H77" s="93">
        <v>0.40031335358925452</v>
      </c>
      <c r="I77" s="94">
        <v>12153634</v>
      </c>
      <c r="K77" s="92" t="s">
        <v>230</v>
      </c>
    </row>
    <row r="78" spans="1:11" s="92" customFormat="1">
      <c r="B78" s="92" t="s">
        <v>231</v>
      </c>
      <c r="C78" s="93">
        <v>9.9353342098912972E-2</v>
      </c>
      <c r="D78" s="94">
        <v>553960</v>
      </c>
      <c r="G78" s="92" t="s">
        <v>232</v>
      </c>
      <c r="H78" s="93">
        <v>0.17730995019304224</v>
      </c>
      <c r="I78" s="94">
        <v>553960</v>
      </c>
    </row>
    <row r="79" spans="1:11" s="92" customFormat="1">
      <c r="B79" s="92" t="s">
        <v>233</v>
      </c>
      <c r="C79" s="93">
        <v>7.5777272788448244E-2</v>
      </c>
      <c r="D79" s="94">
        <v>3050596</v>
      </c>
      <c r="G79" s="92" t="s">
        <v>234</v>
      </c>
      <c r="H79" s="93">
        <v>0.11789709249440999</v>
      </c>
      <c r="I79" s="94">
        <v>3050596</v>
      </c>
    </row>
    <row r="80" spans="1:11" s="92" customFormat="1">
      <c r="B80" s="92" t="s">
        <v>235</v>
      </c>
      <c r="C80" s="93">
        <v>6.6085361755816918E-2</v>
      </c>
      <c r="D80" s="94">
        <v>11115023</v>
      </c>
      <c r="G80" s="92" t="s">
        <v>236</v>
      </c>
      <c r="H80" s="93">
        <v>7.634136822021341E-2</v>
      </c>
      <c r="I80" s="94">
        <v>1692097</v>
      </c>
    </row>
    <row r="81" spans="1:19" s="92" customFormat="1">
      <c r="B81" s="92" t="s">
        <v>237</v>
      </c>
      <c r="C81" s="93">
        <v>5.8164956401361607E-2</v>
      </c>
      <c r="D81" s="94">
        <v>3689192</v>
      </c>
      <c r="G81" s="92" t="s">
        <v>238</v>
      </c>
      <c r="H81" s="93">
        <v>6.990837393673581E-2</v>
      </c>
      <c r="I81" s="94">
        <v>3689192</v>
      </c>
    </row>
    <row r="82" spans="1:19" s="92" customFormat="1">
      <c r="B82" s="92" t="s">
        <v>239</v>
      </c>
      <c r="C82" s="93">
        <v>0.17684777667827156</v>
      </c>
      <c r="D82" s="94">
        <v>5920853</v>
      </c>
      <c r="G82" s="92" t="s">
        <v>240</v>
      </c>
      <c r="H82" s="93">
        <v>0.15822986156634411</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157</v>
      </c>
      <c r="D92" s="98"/>
      <c r="E92" s="98"/>
      <c r="F92" s="98"/>
      <c r="G92" s="98">
        <v>0.18475703770282353</v>
      </c>
      <c r="H92" s="98">
        <v>0.18509473775805435</v>
      </c>
      <c r="I92" s="98">
        <v>0.14096411023913055</v>
      </c>
      <c r="J92" s="98">
        <v>0.31289612791705923</v>
      </c>
      <c r="K92" s="98">
        <v>0.53611858184830874</v>
      </c>
      <c r="L92" s="98">
        <v>0.40031335358925452</v>
      </c>
      <c r="M92" s="98">
        <v>0.52324999093537983</v>
      </c>
      <c r="O92" s="92">
        <v>12153634</v>
      </c>
    </row>
    <row r="93" spans="1:19" s="92" customFormat="1" hidden="1">
      <c r="B93" s="92">
        <v>2</v>
      </c>
      <c r="C93" s="92" t="s">
        <v>160</v>
      </c>
      <c r="D93" s="98">
        <v>0.31736788623828943</v>
      </c>
      <c r="E93" s="98">
        <v>0.18043164003313855</v>
      </c>
      <c r="F93" s="98">
        <v>0.26683032314520816</v>
      </c>
      <c r="G93" s="98">
        <v>0.35806069120247969</v>
      </c>
      <c r="H93" s="98">
        <v>0.29548537650867479</v>
      </c>
      <c r="I93" s="98">
        <v>0.32708743049233968</v>
      </c>
      <c r="J93" s="98">
        <v>0.21896514602187631</v>
      </c>
      <c r="K93" s="98">
        <v>0.10699198893965008</v>
      </c>
      <c r="L93" s="98">
        <v>0.17730995019304224</v>
      </c>
      <c r="M93" s="98"/>
      <c r="O93" s="92">
        <v>553960</v>
      </c>
    </row>
    <row r="94" spans="1:19" s="92" customFormat="1" hidden="1">
      <c r="B94" s="92">
        <v>3</v>
      </c>
      <c r="C94" s="92" t="s">
        <v>241</v>
      </c>
      <c r="D94" s="98">
        <v>0.1163470514711494</v>
      </c>
      <c r="E94" s="98">
        <v>4.1365200959741423E-2</v>
      </c>
      <c r="F94" s="98"/>
      <c r="G94" s="98">
        <v>1.5140846160567881E-2</v>
      </c>
      <c r="H94" s="98"/>
      <c r="I94" s="98"/>
      <c r="J94" s="98"/>
      <c r="K94" s="98">
        <v>6.1363132431618832E-2</v>
      </c>
      <c r="L94" s="98">
        <v>0.11789709249440999</v>
      </c>
      <c r="M94" s="98">
        <v>0.16447559326582309</v>
      </c>
      <c r="O94" s="92">
        <v>3050596</v>
      </c>
    </row>
    <row r="95" spans="1:19" s="92" customFormat="1" hidden="1">
      <c r="B95" s="92">
        <v>4</v>
      </c>
      <c r="C95" s="92" t="s">
        <v>172</v>
      </c>
      <c r="D95" s="98">
        <v>0.12903557549965072</v>
      </c>
      <c r="E95" s="98">
        <v>0.20187957031932721</v>
      </c>
      <c r="F95" s="98">
        <v>0.38733157832894249</v>
      </c>
      <c r="G95" s="98">
        <v>0.3340953238772762</v>
      </c>
      <c r="H95" s="98">
        <v>0.33304159522524074</v>
      </c>
      <c r="I95" s="98">
        <v>0.34433358385336416</v>
      </c>
      <c r="J95" s="98">
        <v>0.12983451718141792</v>
      </c>
      <c r="K95" s="98">
        <v>0.1065323825737563</v>
      </c>
      <c r="L95" s="98">
        <v>7.634136822021341E-2</v>
      </c>
      <c r="M95" s="98">
        <v>5.0402524773552761E-2</v>
      </c>
      <c r="O95" s="92">
        <v>1692097</v>
      </c>
    </row>
    <row r="96" spans="1:19" s="92" customFormat="1" hidden="1">
      <c r="B96" s="92">
        <v>5</v>
      </c>
      <c r="C96" s="92" t="s">
        <v>165</v>
      </c>
      <c r="D96" s="98">
        <v>9.8436575288384454E-2</v>
      </c>
      <c r="E96" s="98"/>
      <c r="F96" s="98"/>
      <c r="G96" s="98"/>
      <c r="H96" s="98"/>
      <c r="I96" s="98">
        <v>4.5681294881545459E-2</v>
      </c>
      <c r="J96" s="98">
        <v>8.8635586245856907E-2</v>
      </c>
      <c r="K96" s="98">
        <v>5.2552667179459236E-2</v>
      </c>
      <c r="L96" s="98">
        <v>6.990837393673581E-2</v>
      </c>
      <c r="M96" s="98">
        <v>0.12546043656947875</v>
      </c>
      <c r="O96" s="92">
        <v>3689192</v>
      </c>
    </row>
    <row r="97" spans="1:15" s="92" customFormat="1" hidden="1">
      <c r="B97" s="92">
        <v>6</v>
      </c>
      <c r="C97" s="92" t="s">
        <v>242</v>
      </c>
      <c r="D97" s="98"/>
      <c r="E97" s="98"/>
      <c r="F97" s="98"/>
      <c r="G97" s="98"/>
      <c r="H97" s="98"/>
      <c r="I97" s="98"/>
      <c r="J97" s="98"/>
      <c r="K97" s="98"/>
      <c r="L97" s="98"/>
      <c r="M97" s="98">
        <v>3.5341620974467296E-2</v>
      </c>
      <c r="O97" s="92">
        <v>11115023</v>
      </c>
    </row>
    <row r="98" spans="1:15" s="92" customFormat="1" hidden="1">
      <c r="B98" s="92">
        <v>7</v>
      </c>
      <c r="C98" s="92" t="s">
        <v>162</v>
      </c>
      <c r="D98" s="98"/>
      <c r="E98" s="98"/>
      <c r="F98" s="98"/>
      <c r="G98" s="98"/>
      <c r="H98" s="98"/>
      <c r="I98" s="98"/>
      <c r="J98" s="98">
        <v>8.7506630479867273E-2</v>
      </c>
      <c r="K98" s="98"/>
      <c r="L98" s="98"/>
      <c r="M98" s="98"/>
      <c r="O98" s="92">
        <v>2480382</v>
      </c>
    </row>
    <row r="99" spans="1:15" s="92" customFormat="1" hidden="1">
      <c r="B99" s="92">
        <v>8</v>
      </c>
      <c r="C99" s="92" t="s">
        <v>170</v>
      </c>
      <c r="D99" s="98"/>
      <c r="E99" s="98">
        <v>0.16313101833014876</v>
      </c>
      <c r="F99" s="98">
        <v>0.17533836455942456</v>
      </c>
      <c r="G99" s="98">
        <v>6.188177921772104E-2</v>
      </c>
      <c r="H99" s="98">
        <v>5.4731063819688765E-2</v>
      </c>
      <c r="I99" s="98">
        <v>5.6474940217567202E-2</v>
      </c>
      <c r="J99" s="98"/>
      <c r="K99" s="98"/>
      <c r="L99" s="98"/>
      <c r="M99" s="98"/>
      <c r="O99" s="92">
        <v>7434864</v>
      </c>
    </row>
    <row r="100" spans="1:15" s="92" customFormat="1" hidden="1">
      <c r="B100" s="92">
        <v>9</v>
      </c>
      <c r="C100" s="92" t="s">
        <v>243</v>
      </c>
      <c r="D100" s="98">
        <v>8.4958914034422461E-2</v>
      </c>
      <c r="E100" s="98">
        <v>0.32259537662987819</v>
      </c>
      <c r="F100" s="98">
        <v>0.11232418758713179</v>
      </c>
      <c r="G100" s="98"/>
      <c r="H100" s="98">
        <v>4.8271957979587034E-2</v>
      </c>
      <c r="I100" s="98"/>
      <c r="J100" s="98"/>
      <c r="K100" s="98"/>
      <c r="L100" s="98"/>
      <c r="M100" s="98"/>
      <c r="O100" s="92">
        <v>8497745</v>
      </c>
    </row>
    <row r="101" spans="1:15" s="92" customFormat="1" hidden="1">
      <c r="B101" s="92">
        <v>10</v>
      </c>
      <c r="C101" s="92" t="s">
        <v>244</v>
      </c>
      <c r="D101" s="98"/>
      <c r="E101" s="98"/>
      <c r="F101" s="98">
        <v>2.8402393700316105E-2</v>
      </c>
      <c r="G101" s="98"/>
      <c r="H101" s="98"/>
      <c r="I101" s="98"/>
      <c r="J101" s="98"/>
      <c r="K101" s="98"/>
      <c r="L101" s="98"/>
      <c r="M101" s="98"/>
      <c r="O101" s="92">
        <v>14393110</v>
      </c>
    </row>
    <row r="102" spans="1:15" s="92" customFormat="1" hidden="1">
      <c r="B102" s="92">
        <v>11</v>
      </c>
      <c r="C102" s="92" t="s">
        <v>245</v>
      </c>
      <c r="D102" s="98">
        <v>0.2538539974681035</v>
      </c>
      <c r="E102" s="98">
        <v>9.0597193727765868E-2</v>
      </c>
      <c r="F102" s="98">
        <v>2.9773152678976875E-2</v>
      </c>
      <c r="G102" s="98">
        <v>4.6064321839131686E-2</v>
      </c>
      <c r="H102" s="98">
        <v>8.3375268708754322E-2</v>
      </c>
      <c r="I102" s="98">
        <v>8.5458640316052936E-2</v>
      </c>
      <c r="J102" s="98">
        <v>0.16216199215392238</v>
      </c>
      <c r="K102" s="98">
        <v>0.13644124702720675</v>
      </c>
      <c r="L102" s="98">
        <v>0.15822986156634403</v>
      </c>
      <c r="M102" s="98">
        <v>0.10106983348129833</v>
      </c>
      <c r="O102" s="92">
        <v>5920853</v>
      </c>
    </row>
    <row r="103" spans="1:15" s="92" customFormat="1" hidden="1">
      <c r="B103" s="92">
        <v>12</v>
      </c>
      <c r="D103" s="98"/>
      <c r="E103" s="98"/>
      <c r="F103" s="98"/>
      <c r="G103" s="98"/>
      <c r="H103" s="98"/>
      <c r="I103" s="98"/>
      <c r="J103" s="98"/>
      <c r="K103" s="98"/>
      <c r="L103" s="98"/>
      <c r="M103" s="98"/>
      <c r="O103" s="92">
        <v>15057844</v>
      </c>
    </row>
    <row r="104" spans="1:15" s="92" customFormat="1" hidden="1">
      <c r="B104" s="92">
        <v>13</v>
      </c>
      <c r="D104" s="98"/>
      <c r="E104" s="98"/>
      <c r="F104" s="98"/>
      <c r="G104" s="98"/>
      <c r="H104" s="98"/>
      <c r="I104" s="98"/>
      <c r="J104" s="98"/>
      <c r="K104" s="98"/>
      <c r="L104" s="98"/>
      <c r="M104" s="98"/>
      <c r="O104" s="92">
        <v>10603512</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12</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t="s">
        <v>253</v>
      </c>
      <c r="D120" s="54">
        <v>5</v>
      </c>
      <c r="E120" s="54" t="s">
        <v>253</v>
      </c>
      <c r="F120" s="55">
        <v>11</v>
      </c>
    </row>
    <row r="121" spans="1:15" ht="18" customHeight="1">
      <c r="A121" s="173" t="s">
        <v>191</v>
      </c>
      <c r="B121" s="33" t="s">
        <v>192</v>
      </c>
      <c r="C121" s="56"/>
      <c r="D121" s="56">
        <v>19.724000167846679</v>
      </c>
      <c r="E121" s="56"/>
      <c r="F121" s="57">
        <v>16.495454788208008</v>
      </c>
      <c r="G121" s="206"/>
      <c r="H121" s="206"/>
      <c r="I121" s="206"/>
      <c r="J121" s="206"/>
      <c r="K121" s="206"/>
      <c r="L121" s="206"/>
      <c r="M121" s="206"/>
      <c r="N121" s="206"/>
      <c r="O121" s="206"/>
    </row>
    <row r="122" spans="1:15" ht="18" customHeight="1">
      <c r="A122" s="174"/>
      <c r="B122" s="35" t="s">
        <v>184</v>
      </c>
      <c r="C122" s="58"/>
      <c r="D122" s="58">
        <v>388.39999389648438</v>
      </c>
      <c r="E122" s="58"/>
      <c r="F122" s="59">
        <v>289.18182373046875</v>
      </c>
      <c r="G122" s="206"/>
      <c r="H122" s="206"/>
      <c r="I122" s="206"/>
      <c r="J122" s="206"/>
      <c r="K122" s="206"/>
      <c r="L122" s="206"/>
      <c r="M122" s="206"/>
      <c r="N122" s="206"/>
      <c r="O122" s="206"/>
    </row>
    <row r="123" spans="1:15" ht="18" customHeight="1">
      <c r="A123" s="174"/>
      <c r="B123" s="35" t="s">
        <v>185</v>
      </c>
      <c r="C123" s="58"/>
      <c r="D123" s="58">
        <v>131.79999847412108</v>
      </c>
      <c r="E123" s="58"/>
      <c r="F123" s="59">
        <v>86.636360168457031</v>
      </c>
      <c r="G123" s="206"/>
      <c r="H123" s="206"/>
      <c r="I123" s="206"/>
      <c r="J123" s="206"/>
      <c r="K123" s="206"/>
      <c r="L123" s="206"/>
      <c r="M123" s="206"/>
      <c r="N123" s="206"/>
      <c r="O123" s="206"/>
    </row>
    <row r="124" spans="1:15" ht="18" customHeight="1">
      <c r="A124" s="174"/>
      <c r="B124" s="35" t="s">
        <v>186</v>
      </c>
      <c r="C124" s="58"/>
      <c r="D124" s="58">
        <v>302.95253601074216</v>
      </c>
      <c r="E124" s="58"/>
      <c r="F124" s="59">
        <v>227.74696350097656</v>
      </c>
      <c r="G124" s="206"/>
      <c r="H124" s="206"/>
      <c r="I124" s="206"/>
      <c r="J124" s="206"/>
      <c r="K124" s="206"/>
      <c r="L124" s="206"/>
      <c r="M124" s="206"/>
      <c r="N124" s="206"/>
      <c r="O124" s="206"/>
    </row>
    <row r="125" spans="1:15" ht="18" customHeight="1">
      <c r="A125" s="174"/>
      <c r="B125" s="35" t="s">
        <v>187</v>
      </c>
      <c r="C125" s="31"/>
      <c r="D125" s="31">
        <v>263.15409545898439</v>
      </c>
      <c r="E125" s="31"/>
      <c r="F125" s="60">
        <v>175.62918090820313</v>
      </c>
      <c r="G125" s="206"/>
      <c r="H125" s="206"/>
      <c r="I125" s="206"/>
      <c r="J125" s="206"/>
      <c r="K125" s="206"/>
      <c r="L125" s="206"/>
      <c r="M125" s="206"/>
      <c r="N125" s="206"/>
      <c r="O125" s="206"/>
    </row>
    <row r="126" spans="1:15" ht="18" customHeight="1">
      <c r="A126" s="174"/>
      <c r="B126" s="35" t="s">
        <v>193</v>
      </c>
      <c r="C126" s="31"/>
      <c r="D126" s="31">
        <f ca="1">550.2848*OFFSET($L$112,MATCH($N$1,$C$112:$C$113,0)-1,0)</f>
        <v>550.28480000000002</v>
      </c>
      <c r="E126" s="31"/>
      <c r="F126" s="60">
        <f ca="1">364.5439375*OFFSET($L$112,MATCH($N$1,$C$112:$C$113,0)-1,0)</f>
        <v>364.54393750000003</v>
      </c>
      <c r="G126" s="206"/>
      <c r="H126" s="206"/>
      <c r="I126" s="206"/>
      <c r="J126" s="206"/>
      <c r="K126" s="206"/>
      <c r="L126" s="206"/>
      <c r="M126" s="206"/>
      <c r="N126" s="206"/>
      <c r="O126" s="206"/>
    </row>
    <row r="127" spans="1:15" ht="18" customHeight="1">
      <c r="A127" s="174"/>
      <c r="B127" s="35" t="s">
        <v>189</v>
      </c>
      <c r="C127" s="58"/>
      <c r="D127" s="58">
        <v>186.0000030517578</v>
      </c>
      <c r="E127" s="58"/>
      <c r="F127" s="59">
        <v>138.90908813476563</v>
      </c>
      <c r="G127" s="206"/>
      <c r="H127" s="206"/>
      <c r="I127" s="206"/>
      <c r="J127" s="206"/>
      <c r="K127" s="206"/>
      <c r="L127" s="206"/>
      <c r="M127" s="206"/>
      <c r="N127" s="206"/>
      <c r="O127" s="206"/>
    </row>
    <row r="128" spans="1:15" ht="18" customHeight="1">
      <c r="A128" s="174"/>
      <c r="B128" s="35" t="s">
        <v>194</v>
      </c>
      <c r="C128" s="58"/>
      <c r="D128" s="58">
        <v>29.399999237060548</v>
      </c>
      <c r="E128" s="58"/>
      <c r="F128" s="59">
        <v>34.818180084228516</v>
      </c>
      <c r="G128" s="206"/>
      <c r="H128" s="206"/>
      <c r="I128" s="206"/>
      <c r="J128" s="206"/>
      <c r="K128" s="206"/>
      <c r="L128" s="206"/>
      <c r="M128" s="206"/>
      <c r="N128" s="206"/>
      <c r="O128" s="206"/>
    </row>
    <row r="129" spans="1:15" ht="18" customHeight="1">
      <c r="A129" s="174"/>
      <c r="B129" s="35" t="s">
        <v>195</v>
      </c>
      <c r="C129" s="61"/>
      <c r="D129" s="61">
        <v>1.4148069416200875</v>
      </c>
      <c r="E129" s="61"/>
      <c r="F129" s="62">
        <v>1.2643462419509888</v>
      </c>
      <c r="G129" s="206"/>
      <c r="H129" s="206"/>
      <c r="I129" s="206"/>
      <c r="J129" s="206"/>
      <c r="K129" s="206"/>
      <c r="L129" s="206"/>
      <c r="M129" s="206"/>
      <c r="N129" s="206"/>
      <c r="O129" s="206"/>
    </row>
    <row r="130" spans="1:15" ht="18" customHeight="1">
      <c r="A130" s="175"/>
      <c r="B130" s="37" t="s">
        <v>196</v>
      </c>
      <c r="C130" s="38"/>
      <c r="D130" s="38">
        <f ca="1">2091.11242992518*OFFSET($L$112,MATCH($N$1,$C$112:$C$113,0)-1,0)</f>
        <v>2091.1124299251801</v>
      </c>
      <c r="E130" s="38"/>
      <c r="F130" s="63">
        <f ca="1">2076*OFFSET($L$112,MATCH($N$1,$C$112:$C$113,0)-1,0)</f>
        <v>2076</v>
      </c>
      <c r="G130" s="206"/>
      <c r="H130" s="206"/>
      <c r="I130" s="206"/>
      <c r="J130" s="206"/>
      <c r="K130" s="206"/>
      <c r="L130" s="206"/>
      <c r="M130" s="206"/>
      <c r="N130" s="206"/>
      <c r="O130" s="206"/>
    </row>
    <row r="131" spans="1:15" ht="18" customHeight="1">
      <c r="A131" s="184" t="s">
        <v>197</v>
      </c>
      <c r="B131" s="33" t="s">
        <v>198</v>
      </c>
      <c r="C131" s="64"/>
      <c r="D131" s="64">
        <v>3.2482224909397339</v>
      </c>
      <c r="E131" s="64"/>
      <c r="F131" s="65">
        <v>3.4713440508400826</v>
      </c>
      <c r="G131" s="206"/>
      <c r="H131" s="206"/>
      <c r="I131" s="206"/>
      <c r="J131" s="206"/>
      <c r="K131" s="206"/>
      <c r="L131" s="206"/>
      <c r="M131" s="206"/>
      <c r="N131" s="206"/>
      <c r="O131" s="206"/>
    </row>
    <row r="132" spans="1:15" ht="18" customHeight="1">
      <c r="A132" s="185"/>
      <c r="B132" s="35" t="s">
        <v>199</v>
      </c>
      <c r="C132" s="61"/>
      <c r="D132" s="61">
        <f ca="1">6.79239842596661*OFFSET($L$112,MATCH($N$1,$C$112:$C$113,0)-1,0)</f>
        <v>6.7923984259666099</v>
      </c>
      <c r="E132" s="61"/>
      <c r="F132" s="62">
        <f ca="1">7.20528002332292*OFFSET($L$112,MATCH($N$1,$C$112:$C$113,0)-1,0)</f>
        <v>7.2052800233229197</v>
      </c>
      <c r="G132" s="206"/>
      <c r="H132" s="206"/>
      <c r="I132" s="206"/>
      <c r="J132" s="206"/>
      <c r="K132" s="206"/>
      <c r="L132" s="206"/>
      <c r="M132" s="206"/>
      <c r="N132" s="206"/>
      <c r="O132" s="206"/>
    </row>
    <row r="133" spans="1:15" ht="18" customHeight="1">
      <c r="A133" s="185"/>
      <c r="B133" s="35" t="s">
        <v>154</v>
      </c>
      <c r="C133" s="61"/>
      <c r="D133" s="61">
        <f ca="1">5.22023769113791*OFFSET($L$112,MATCH($N$1,$C$112:$C$113,0)-1,0)</f>
        <v>5.2202376911379096</v>
      </c>
      <c r="E133" s="61"/>
      <c r="F133" s="62">
        <f ca="1">5.5368188421552*OFFSET($L$112,MATCH($N$1,$C$112:$C$113,0)-1,0)</f>
        <v>5.5368188421552</v>
      </c>
      <c r="G133" s="206"/>
      <c r="H133" s="206"/>
      <c r="I133" s="206"/>
      <c r="J133" s="206"/>
      <c r="K133" s="206"/>
      <c r="L133" s="206"/>
      <c r="M133" s="206"/>
      <c r="N133" s="206"/>
      <c r="O133" s="206"/>
    </row>
    <row r="134" spans="1:15" ht="18" customHeight="1">
      <c r="A134" s="186"/>
      <c r="B134" s="37" t="s">
        <v>155</v>
      </c>
      <c r="C134" s="66"/>
      <c r="D134" s="66">
        <f ca="1">1.5721607348287*OFFSET($L$112,MATCH($N$1,$C$112:$C$113,0)-1,0)</f>
        <v>1.5721607348286999</v>
      </c>
      <c r="E134" s="66"/>
      <c r="F134" s="67">
        <f ca="1">1.66846118116773*OFFSET($L$112,MATCH($N$1,$C$112:$C$113,0)-1,0)</f>
        <v>1.6684611811677299</v>
      </c>
      <c r="G134" s="206"/>
      <c r="H134" s="206"/>
      <c r="I134" s="206"/>
      <c r="J134" s="206"/>
      <c r="K134" s="206"/>
      <c r="L134" s="206"/>
      <c r="M134" s="206"/>
      <c r="N134" s="206"/>
      <c r="O134" s="206"/>
    </row>
    <row r="135" spans="1:15" ht="18" customHeight="1">
      <c r="A135" s="187" t="s">
        <v>254</v>
      </c>
      <c r="B135" s="35" t="s">
        <v>255</v>
      </c>
      <c r="C135" s="68"/>
      <c r="D135" s="68">
        <f ca="1">88.5822484375*OFFSET($L$112,MATCH($N$1,$C$112:$C$113,0)-1,0)</f>
        <v>88.582248437499999</v>
      </c>
      <c r="E135" s="68"/>
      <c r="F135" s="69">
        <f ca="1">58.64535546875*OFFSET($L$112,MATCH($N$1,$C$112:$C$113,0)-1,0)</f>
        <v>58.645355468749997</v>
      </c>
      <c r="G135" s="206"/>
      <c r="H135" s="206"/>
      <c r="I135" s="206"/>
      <c r="J135" s="206"/>
      <c r="K135" s="206"/>
      <c r="L135" s="206"/>
      <c r="M135" s="206"/>
      <c r="N135" s="206"/>
      <c r="O135" s="206"/>
    </row>
    <row r="136" spans="1:15" ht="18" customHeight="1">
      <c r="A136" s="188"/>
      <c r="B136" s="35" t="s">
        <v>256</v>
      </c>
      <c r="C136" s="30"/>
      <c r="D136" s="30">
        <v>168599.9998276431</v>
      </c>
      <c r="E136" s="30"/>
      <c r="F136" s="70">
        <v>111500</v>
      </c>
      <c r="G136" s="206"/>
      <c r="H136" s="206"/>
      <c r="I136" s="206"/>
      <c r="J136" s="206"/>
      <c r="K136" s="206"/>
      <c r="L136" s="206"/>
      <c r="M136" s="206"/>
      <c r="N136" s="206"/>
      <c r="O136" s="206"/>
    </row>
    <row r="137" spans="1:15" ht="18" customHeight="1">
      <c r="A137" s="188"/>
      <c r="B137" s="35" t="s">
        <v>257</v>
      </c>
      <c r="C137" s="30"/>
      <c r="D137" s="30">
        <v>906.45159710415248</v>
      </c>
      <c r="E137" s="30"/>
      <c r="F137" s="70">
        <v>802.6832275390625</v>
      </c>
      <c r="G137" s="206"/>
      <c r="H137" s="206"/>
      <c r="I137" s="206"/>
      <c r="J137" s="206"/>
      <c r="K137" s="206"/>
      <c r="L137" s="206"/>
      <c r="M137" s="206"/>
      <c r="N137" s="206"/>
      <c r="O137" s="206"/>
    </row>
    <row r="138" spans="1:15" ht="18" customHeight="1">
      <c r="A138" s="188"/>
      <c r="B138" s="35" t="s">
        <v>258</v>
      </c>
      <c r="C138" s="30"/>
      <c r="D138" s="30">
        <f ca="1">476.248639699487*OFFSET($L$112,MATCH($N$1,$C$112:$C$113,0)-1,0)</f>
        <v>476.248639699487</v>
      </c>
      <c r="E138" s="30"/>
      <c r="F138" s="70">
        <f ca="1">422.1851590578*OFFSET($L$112,MATCH($N$1,$C$112:$C$113,0)-1,0)</f>
        <v>422.18515905779998</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c r="D139" s="30">
        <f ca="1">336.617403894087*OFFSET($L$112,MATCH($N$1,$C$112:$C$113,0)-1,0)</f>
        <v>336.61740389408698</v>
      </c>
      <c r="E139" s="30"/>
      <c r="F139" s="70">
        <f ca="1">333.91578304634*OFFSET($L$112,MATCH($N$1,$C$112:$C$113,0)-1,0)</f>
        <v>333.91578304633998</v>
      </c>
      <c r="G139" s="206"/>
      <c r="H139" s="206"/>
      <c r="I139" s="46"/>
      <c r="J139" s="206"/>
      <c r="K139" s="71" t="s">
        <v>260</v>
      </c>
      <c r="L139" s="72">
        <f t="shared" ref="L139:M141" si="2">C140</f>
        <v>0</v>
      </c>
      <c r="M139" s="72">
        <f t="shared" ca="1" si="2"/>
        <v>655.31945625000003</v>
      </c>
      <c r="N139" s="72">
        <f>E140</f>
        <v>0</v>
      </c>
      <c r="O139" s="72"/>
    </row>
    <row r="140" spans="1:15" ht="18" customHeight="1">
      <c r="A140" s="166" t="s">
        <v>261</v>
      </c>
      <c r="B140" s="33" t="s">
        <v>262</v>
      </c>
      <c r="C140" s="73"/>
      <c r="D140" s="73">
        <f ca="1">655.31945625*OFFSET($L$112,MATCH($N$1,$C$112:$C$113,0)-1,0)</f>
        <v>655.31945625000003</v>
      </c>
      <c r="E140" s="73"/>
      <c r="F140" s="74">
        <f ca="1">434.125625*OFFSET($L$112,MATCH($N$1,$C$112:$C$113,0)-1,0)</f>
        <v>434.12562500000001</v>
      </c>
      <c r="G140" s="206"/>
      <c r="H140" s="206"/>
      <c r="I140" s="46"/>
      <c r="J140" s="206"/>
      <c r="K140" s="71" t="s">
        <v>263</v>
      </c>
      <c r="L140" s="72">
        <f t="shared" si="2"/>
        <v>0</v>
      </c>
      <c r="M140" s="72">
        <f t="shared" ca="1" si="2"/>
        <v>527.95116874999997</v>
      </c>
      <c r="N140" s="72">
        <f>E141</f>
        <v>0</v>
      </c>
      <c r="O140" s="72"/>
    </row>
    <row r="141" spans="1:15" ht="18" customHeight="1">
      <c r="A141" s="167"/>
      <c r="B141" s="35" t="s">
        <v>264</v>
      </c>
      <c r="C141" s="30"/>
      <c r="D141" s="30">
        <f ca="1">527.95116875*OFFSET($L$112,MATCH($N$1,$C$112:$C$113,0)-1,0)</f>
        <v>527.95116874999997</v>
      </c>
      <c r="E141" s="30"/>
      <c r="F141" s="70">
        <f ca="1">349.7115*OFFSET($L$112,MATCH($N$1,$C$112:$C$113,0)-1,0)</f>
        <v>349.7115</v>
      </c>
      <c r="G141" s="206"/>
      <c r="H141" s="206"/>
      <c r="I141" s="46"/>
      <c r="J141" s="206"/>
      <c r="K141" s="71" t="s">
        <v>265</v>
      </c>
      <c r="L141" s="72">
        <f t="shared" si="2"/>
        <v>0</v>
      </c>
      <c r="M141" s="72">
        <f t="shared" ca="1" si="2"/>
        <v>127.36828749999999</v>
      </c>
      <c r="N141" s="72">
        <f>E142</f>
        <v>0</v>
      </c>
      <c r="O141" s="72"/>
    </row>
    <row r="142" spans="1:15" ht="18" customHeight="1">
      <c r="A142" s="168"/>
      <c r="B142" s="37" t="s">
        <v>266</v>
      </c>
      <c r="C142" s="38"/>
      <c r="D142" s="38">
        <f ca="1">127.3682875*OFFSET($L$112,MATCH($N$1,$C$112:$C$113,0)-1,0)</f>
        <v>127.36828749999999</v>
      </c>
      <c r="E142" s="38"/>
      <c r="F142" s="63">
        <f ca="1">84.414125*OFFSET($L$112,MATCH($N$1,$C$112:$C$113,0)-1,0)</f>
        <v>84.414124999999999</v>
      </c>
      <c r="G142" s="206"/>
      <c r="H142" s="206"/>
      <c r="I142" s="46"/>
      <c r="J142" s="206"/>
      <c r="K142" s="71" t="s">
        <v>267</v>
      </c>
      <c r="L142" s="75" t="str">
        <f>IFERROR(L140/L$139,"")</f>
        <v/>
      </c>
      <c r="M142" s="75">
        <f t="shared" ref="M142:N143" ca="1" si="3">IFERROR(M140/M$139,"")</f>
        <v>0.80563939268818241</v>
      </c>
      <c r="N142" s="75" t="str">
        <f t="shared" si="3"/>
        <v/>
      </c>
      <c r="O142" s="75"/>
    </row>
    <row r="143" spans="1:15" ht="18" customHeight="1">
      <c r="A143" s="206"/>
      <c r="B143" s="206"/>
      <c r="C143" s="206"/>
      <c r="D143" s="206"/>
      <c r="E143" s="206"/>
      <c r="F143" s="206"/>
      <c r="G143" s="206"/>
      <c r="H143" s="206"/>
      <c r="I143" s="46"/>
      <c r="J143" s="206"/>
      <c r="K143" s="71" t="s">
        <v>268</v>
      </c>
      <c r="L143" s="75" t="str">
        <f>IFERROR(L141/L$139,"")</f>
        <v/>
      </c>
      <c r="M143" s="75">
        <f t="shared" ca="1" si="3"/>
        <v>0.19436060731181745</v>
      </c>
      <c r="N143" s="75" t="str">
        <f t="shared" si="3"/>
        <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11</v>
      </c>
      <c r="B161" s="51"/>
      <c r="C161" s="76" t="s">
        <v>249</v>
      </c>
      <c r="D161" s="76" t="s">
        <v>270</v>
      </c>
      <c r="E161" s="76" t="s">
        <v>251</v>
      </c>
      <c r="F161" s="76" t="s">
        <v>271</v>
      </c>
      <c r="G161" s="77">
        <v>11</v>
      </c>
      <c r="H161" s="76"/>
      <c r="I161" s="76" t="s">
        <v>249</v>
      </c>
      <c r="J161" s="76" t="s">
        <v>270</v>
      </c>
      <c r="K161" s="76" t="s">
        <v>251</v>
      </c>
      <c r="L161" s="51" t="s">
        <v>271</v>
      </c>
      <c r="R161" s="206"/>
      <c r="S161" s="206"/>
    </row>
    <row r="162" spans="1:19" s="46" customFormat="1">
      <c r="A162" s="47">
        <v>1</v>
      </c>
      <c r="B162" s="51" t="s">
        <v>157</v>
      </c>
      <c r="C162" s="51">
        <v>0</v>
      </c>
      <c r="D162" s="51">
        <v>0.57135032414533438</v>
      </c>
      <c r="E162" s="51">
        <v>0</v>
      </c>
      <c r="F162" s="47">
        <v>12153634</v>
      </c>
      <c r="G162" s="47">
        <v>1</v>
      </c>
      <c r="H162" s="51" t="s">
        <v>157</v>
      </c>
      <c r="I162" s="51">
        <v>0</v>
      </c>
      <c r="J162" s="51">
        <v>0.42259661886659883</v>
      </c>
      <c r="K162" s="51">
        <v>0</v>
      </c>
      <c r="L162" s="47">
        <v>12153634</v>
      </c>
      <c r="R162" s="206"/>
      <c r="S162" s="206"/>
    </row>
    <row r="163" spans="1:19" s="46" customFormat="1">
      <c r="A163" s="47">
        <v>2</v>
      </c>
      <c r="B163" s="51" t="s">
        <v>160</v>
      </c>
      <c r="C163" s="51">
        <v>0</v>
      </c>
      <c r="D163" s="51">
        <v>0.11031126968286634</v>
      </c>
      <c r="E163" s="51">
        <v>0</v>
      </c>
      <c r="F163" s="47">
        <v>553960</v>
      </c>
      <c r="G163" s="47">
        <v>2</v>
      </c>
      <c r="H163" s="51" t="s">
        <v>160</v>
      </c>
      <c r="I163" s="51">
        <v>0</v>
      </c>
      <c r="J163" s="51">
        <v>0.20474522259668157</v>
      </c>
      <c r="K163" s="51">
        <v>0</v>
      </c>
      <c r="L163" s="47">
        <v>553960</v>
      </c>
      <c r="N163" s="46" t="s">
        <v>272</v>
      </c>
      <c r="R163" s="206"/>
      <c r="S163" s="206"/>
    </row>
    <row r="164" spans="1:19" s="46" customFormat="1">
      <c r="A164" s="47">
        <v>3</v>
      </c>
      <c r="B164" s="51" t="s">
        <v>241</v>
      </c>
      <c r="C164" s="51">
        <v>0</v>
      </c>
      <c r="D164" s="51">
        <v>9.3897161215211203E-2</v>
      </c>
      <c r="E164" s="51">
        <v>0</v>
      </c>
      <c r="F164" s="47">
        <v>3050596</v>
      </c>
      <c r="G164" s="47">
        <v>3</v>
      </c>
      <c r="H164" s="51" t="s">
        <v>241</v>
      </c>
      <c r="I164" s="51">
        <v>0</v>
      </c>
      <c r="J164" s="51">
        <v>0.14274945183192972</v>
      </c>
      <c r="K164" s="51">
        <v>0</v>
      </c>
      <c r="L164" s="47">
        <v>3050596</v>
      </c>
      <c r="N164" s="46" t="s">
        <v>273</v>
      </c>
      <c r="R164" s="206"/>
      <c r="S164" s="206"/>
    </row>
    <row r="165" spans="1:19" s="46" customFormat="1">
      <c r="A165" s="47">
        <v>4</v>
      </c>
      <c r="B165" s="51" t="s">
        <v>165</v>
      </c>
      <c r="C165" s="51">
        <v>0</v>
      </c>
      <c r="D165" s="51">
        <v>7.7333577779408066E-2</v>
      </c>
      <c r="E165" s="51">
        <v>0</v>
      </c>
      <c r="F165" s="47">
        <v>3689192</v>
      </c>
      <c r="G165" s="47">
        <v>4</v>
      </c>
      <c r="H165" s="51" t="s">
        <v>165</v>
      </c>
      <c r="I165" s="51">
        <v>0</v>
      </c>
      <c r="J165" s="51">
        <v>9.3773079055369121E-2</v>
      </c>
      <c r="K165" s="51">
        <v>0</v>
      </c>
      <c r="L165" s="47">
        <v>3689192</v>
      </c>
      <c r="R165" s="206"/>
      <c r="S165" s="206"/>
    </row>
    <row r="166" spans="1:19" s="46" customFormat="1">
      <c r="A166" s="47">
        <v>5</v>
      </c>
      <c r="B166" s="51" t="s">
        <v>172</v>
      </c>
      <c r="C166" s="51">
        <v>0</v>
      </c>
      <c r="D166" s="51">
        <v>4.1511259320939832E-2</v>
      </c>
      <c r="E166" s="51">
        <v>0</v>
      </c>
      <c r="F166" s="47">
        <v>1692097</v>
      </c>
      <c r="G166" s="47">
        <v>5</v>
      </c>
      <c r="H166" s="51" t="s">
        <v>172</v>
      </c>
      <c r="I166" s="51">
        <v>0</v>
      </c>
      <c r="J166" s="51">
        <v>4.7380540388908307E-2</v>
      </c>
      <c r="K166" s="51">
        <v>0</v>
      </c>
      <c r="L166" s="47">
        <v>1692097</v>
      </c>
      <c r="R166" s="206"/>
      <c r="S166" s="206"/>
    </row>
    <row r="167" spans="1:19" s="46" customFormat="1">
      <c r="A167" s="47">
        <v>6</v>
      </c>
      <c r="B167" s="51" t="s">
        <v>243</v>
      </c>
      <c r="C167" s="51">
        <v>0</v>
      </c>
      <c r="D167" s="51">
        <v>0</v>
      </c>
      <c r="E167" s="51">
        <v>0</v>
      </c>
      <c r="F167" s="47">
        <v>2480382</v>
      </c>
      <c r="G167" s="47">
        <v>6</v>
      </c>
      <c r="H167" s="51" t="s">
        <v>243</v>
      </c>
      <c r="I167" s="51">
        <v>0</v>
      </c>
      <c r="J167" s="51">
        <v>0</v>
      </c>
      <c r="K167" s="51">
        <v>0</v>
      </c>
      <c r="L167" s="47">
        <v>2480382</v>
      </c>
      <c r="R167" s="206"/>
      <c r="S167" s="206"/>
    </row>
    <row r="168" spans="1:19" s="46" customFormat="1">
      <c r="A168" s="47">
        <v>7</v>
      </c>
      <c r="B168" s="51" t="s">
        <v>168</v>
      </c>
      <c r="C168" s="51">
        <v>0</v>
      </c>
      <c r="D168" s="51">
        <v>0</v>
      </c>
      <c r="E168" s="51">
        <v>0</v>
      </c>
      <c r="F168" s="47">
        <v>7434864</v>
      </c>
      <c r="G168" s="47">
        <v>7</v>
      </c>
      <c r="H168" s="51" t="s">
        <v>168</v>
      </c>
      <c r="I168" s="51">
        <v>0</v>
      </c>
      <c r="J168" s="51">
        <v>0</v>
      </c>
      <c r="K168" s="51">
        <v>0</v>
      </c>
      <c r="L168" s="47">
        <v>7434864</v>
      </c>
      <c r="R168" s="206"/>
      <c r="S168" s="206"/>
    </row>
    <row r="169" spans="1:19" s="46" customFormat="1">
      <c r="A169" s="47">
        <v>8</v>
      </c>
      <c r="B169" s="51" t="s">
        <v>274</v>
      </c>
      <c r="C169" s="51">
        <v>0</v>
      </c>
      <c r="D169" s="51">
        <v>0</v>
      </c>
      <c r="E169" s="51">
        <v>0</v>
      </c>
      <c r="F169" s="47">
        <v>8497745</v>
      </c>
      <c r="G169" s="47">
        <v>8</v>
      </c>
      <c r="H169" s="51" t="s">
        <v>244</v>
      </c>
      <c r="I169" s="51">
        <v>0</v>
      </c>
      <c r="J169" s="51">
        <v>0</v>
      </c>
      <c r="K169" s="51">
        <v>0</v>
      </c>
      <c r="L169" s="47">
        <v>14393110</v>
      </c>
      <c r="R169" s="206"/>
      <c r="S169" s="206"/>
    </row>
    <row r="170" spans="1:19" s="46" customFormat="1">
      <c r="A170" s="47">
        <v>9</v>
      </c>
      <c r="B170" s="51" t="s">
        <v>170</v>
      </c>
      <c r="C170" s="51">
        <v>0</v>
      </c>
      <c r="D170" s="51">
        <v>0</v>
      </c>
      <c r="E170" s="51">
        <v>0</v>
      </c>
      <c r="F170" s="47">
        <v>11115023</v>
      </c>
      <c r="G170" s="47">
        <v>9</v>
      </c>
      <c r="H170" s="51" t="s">
        <v>170</v>
      </c>
      <c r="I170" s="51">
        <v>0</v>
      </c>
      <c r="J170" s="51">
        <v>0</v>
      </c>
      <c r="K170" s="51">
        <v>0</v>
      </c>
      <c r="L170" s="47">
        <v>11115023</v>
      </c>
      <c r="R170" s="206"/>
      <c r="S170" s="206"/>
    </row>
    <row r="171" spans="1:19" s="46" customFormat="1">
      <c r="A171" s="47">
        <v>10</v>
      </c>
      <c r="B171" s="51" t="s">
        <v>245</v>
      </c>
      <c r="C171" s="51">
        <v>0</v>
      </c>
      <c r="D171" s="51">
        <v>0.10559640785624025</v>
      </c>
      <c r="E171" s="51">
        <v>0</v>
      </c>
      <c r="F171" s="47">
        <v>5920853</v>
      </c>
      <c r="G171" s="47">
        <v>10</v>
      </c>
      <c r="H171" s="51" t="s">
        <v>245</v>
      </c>
      <c r="I171" s="51">
        <v>0</v>
      </c>
      <c r="J171" s="51">
        <v>8.87550872605124E-2</v>
      </c>
      <c r="K171" s="51">
        <v>0</v>
      </c>
      <c r="L171" s="47">
        <v>5920853</v>
      </c>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9484273B-06C3-4044-B84E-B218103C4EC8}">
      <formula1>$C$112:$C$113</formula1>
    </dataValidation>
  </dataValidations>
  <hyperlinks>
    <hyperlink ref="O1:P1" location="Home_page" display="Back to home page" xr:uid="{E0786A26-FDBD-49D7-9072-842879C27E48}"/>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A8F22E48-FC38-40DD-8640-7DA59E835644}">
          <x14:colorSeries rgb="FF323232"/>
          <x14:colorNegative rgb="FFD00000"/>
          <x14:colorAxis rgb="FF000000"/>
          <x14:colorMarkers rgb="FFD00000"/>
          <x14:colorFirst rgb="FFD00000"/>
          <x14:colorLast rgb="FFD00000"/>
          <x14:colorHigh rgb="FFD00000"/>
          <x14:colorLow rgb="FFD00000"/>
          <x14:sparklines>
            <x14:sparkline>
              <xm:f>'Area VIIa demersal trawl'!D3:N3</xm:f>
              <xm:sqref>C3</xm:sqref>
            </x14:sparkline>
            <x14:sparkline>
              <xm:f>'Area VIIa demersal trawl'!D4:N4</xm:f>
              <xm:sqref>C4</xm:sqref>
            </x14:sparkline>
            <x14:sparkline>
              <xm:f>'Area VIIa demersal trawl'!D5:N5</xm:f>
              <xm:sqref>C5</xm:sqref>
            </x14:sparkline>
            <x14:sparkline>
              <xm:f>'Area VIIa demersal trawl'!D6:N6</xm:f>
              <xm:sqref>C6</xm:sqref>
            </x14:sparkline>
            <x14:sparkline>
              <xm:f>'Area VIIa demersal trawl'!D7:N7</xm:f>
              <xm:sqref>C7</xm:sqref>
            </x14:sparkline>
            <x14:sparkline>
              <xm:f>'Area VIIa demersal trawl'!D8:N8</xm:f>
              <xm:sqref>C8</xm:sqref>
            </x14:sparkline>
            <x14:sparkline>
              <xm:f>'Area VIIa demersal trawl'!D9:N9</xm:f>
              <xm:sqref>C9</xm:sqref>
            </x14:sparkline>
            <x14:sparkline>
              <xm:f>'Area VIIa demersal trawl'!D10:N10</xm:f>
              <xm:sqref>C10</xm:sqref>
            </x14:sparkline>
            <x14:sparkline>
              <xm:f>'Area VIIa demersal trawl'!D11:N11</xm:f>
              <xm:sqref>C11</xm:sqref>
            </x14:sparkline>
            <x14:sparkline>
              <xm:f>'Area VIIa demersal trawl'!D12:N12</xm:f>
              <xm:sqref>C12</xm:sqref>
            </x14:sparkline>
            <x14:sparkline>
              <xm:f>'Area VIIa demersal trawl'!D13:N13</xm:f>
              <xm:sqref>C13</xm:sqref>
            </x14:sparkline>
            <x14:sparkline>
              <xm:f>'Area VIIa demersal trawl'!D14:N14</xm:f>
              <xm:sqref>C14</xm:sqref>
            </x14:sparkline>
            <x14:sparkline>
              <xm:f>'Area VIIa demersal trawl'!D15:N15</xm:f>
              <xm:sqref>C15</xm:sqref>
            </x14:sparkline>
            <x14:sparkline>
              <xm:f>'Area VIIa demersal trawl'!D16:N16</xm:f>
              <xm:sqref>C16</xm:sqref>
            </x14:sparkline>
            <x14:sparkline>
              <xm:f>'Area VIIa demersal trawl'!D17:N17</xm:f>
              <xm:sqref>C17</xm:sqref>
            </x14:sparkline>
            <x14:sparkline>
              <xm:f>'Area VIIa demersal trawl'!D18:N18</xm:f>
              <xm:sqref>C18</xm:sqref>
            </x14:sparkline>
            <x14:sparkline>
              <xm:f>'Area VIIa demersal trawl'!D19:N19</xm:f>
              <xm:sqref>C19</xm:sqref>
            </x14:sparkline>
            <x14:sparkline>
              <xm:f>'Area VIIa demersal trawl'!D20:N20</xm:f>
              <xm:sqref>C20</xm:sqref>
            </x14:sparkline>
            <x14:sparkline>
              <xm:f>'Area VIIa demersal trawl'!D21:N21</xm:f>
              <xm:sqref>C21</xm:sqref>
            </x14:sparkline>
            <x14:sparkline>
              <xm:f>'Area VIIa demersal trawl'!D22:N22</xm:f>
              <xm:sqref>C22</xm:sqref>
            </x14:sparkline>
            <x14:sparkline>
              <xm:f>'Area VIIa demersal trawl'!D23:N23</xm:f>
              <xm:sqref>C23</xm:sqref>
            </x14:sparkline>
            <x14:sparkline>
              <xm:f>'Area VIIa demersal trawl'!D24:N24</xm:f>
              <xm:sqref>C24</xm:sqref>
            </x14:sparkline>
            <x14:sparkline>
              <xm:f>'Area VIIa demersal trawl'!D25:N25</xm:f>
              <xm:sqref>C25</xm:sqref>
            </x14:sparkline>
            <x14:sparkline>
              <xm:f>'Area VIIa demersal trawl'!D26:N26</xm:f>
              <xm:sqref>C26</xm:sqref>
            </x14:sparkline>
            <x14:sparkline>
              <xm:f>'Area VIIa demersal trawl'!D27:N27</xm:f>
              <xm:sqref>C27</xm:sqref>
            </x14:sparkline>
            <x14:sparkline>
              <xm:f>'Area VIIa demersal trawl'!D28:N28</xm:f>
              <xm:sqref>C28</xm:sqref>
            </x14:sparkline>
            <x14:sparkline>
              <xm:f>'Area VIIa demersal trawl'!D29:N29</xm:f>
              <xm:sqref>C29</xm:sqref>
            </x14:sparkline>
            <x14:sparkline>
              <xm:f>'Area VIIa demersal trawl'!D30:N30</xm:f>
              <xm:sqref>C30</xm:sqref>
            </x14:sparkline>
            <x14:sparkline>
              <xm:f>'Area VIIa demersal trawl'!D31:N31</xm:f>
              <xm:sqref>C31</xm:sqref>
            </x14:sparkline>
            <x14:sparkline>
              <xm:f>'Area VIIa demersal trawl'!D32:N32</xm:f>
              <xm:sqref>C32</xm:sqref>
            </x14:sparkline>
            <x14:sparkline>
              <xm:f>'Area VIIa demersal trawl'!D33:N33</xm:f>
              <xm:sqref>C33</xm:sqref>
            </x14:sparkline>
            <x14:sparkline>
              <xm:f>'Area VIIa demersal trawl'!D34:N34</xm:f>
              <xm:sqref>C34</xm:sqref>
            </x14:sparkline>
            <x14:sparkline>
              <xm:f>'Area VIIa demersal trawl'!D35:N35</xm:f>
              <xm:sqref>C35</xm:sqref>
            </x14:sparkline>
            <x14:sparkline>
              <xm:f>'Area VIIa demersal trawl'!D36:N36</xm:f>
              <xm:sqref>C36</xm:sqref>
            </x14:sparkline>
            <x14:sparkline>
              <xm:f>'Area VIIa demersal trawl'!D37:N37</xm:f>
              <xm:sqref>C37</xm:sqref>
            </x14:sparkline>
            <x14:sparkline>
              <xm:f>'Area VIIa demersal trawl'!D38:N38</xm:f>
              <xm:sqref>C38</xm:sqref>
            </x14:sparkline>
            <x14:sparkline>
              <xm:f>'Area VIIa demersal trawl'!D39:N39</xm:f>
              <xm:sqref>C39</xm:sqref>
            </x14:sparkline>
            <x14:sparkline>
              <xm:f>'Area VIIa demersal trawl'!D40:N40</xm:f>
              <xm:sqref>C40</xm:sqref>
            </x14:sparkline>
            <x14:sparkline>
              <xm:f>'Area VIIa demersal trawl'!D41:N41</xm:f>
              <xm:sqref>C41</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44628-4294-4543-BB99-9DA378C5CA16}">
  <sheetPr codeName="Feuil7">
    <pageSetUpPr fitToPage="1"/>
  </sheetPr>
  <dimension ref="A1:S192"/>
  <sheetViews>
    <sheetView zoomScale="85" zoomScaleNormal="85"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11</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29</v>
      </c>
      <c r="E3" s="27">
        <v>31</v>
      </c>
      <c r="F3" s="27">
        <v>34</v>
      </c>
      <c r="G3" s="27">
        <v>41</v>
      </c>
      <c r="H3" s="27">
        <v>37</v>
      </c>
      <c r="I3" s="27">
        <v>36</v>
      </c>
      <c r="J3" s="27">
        <v>32</v>
      </c>
      <c r="K3" s="27">
        <v>30</v>
      </c>
      <c r="L3" s="27">
        <v>31</v>
      </c>
      <c r="M3" s="27">
        <v>29</v>
      </c>
      <c r="N3" s="27">
        <v>25</v>
      </c>
      <c r="O3" s="28">
        <f t="shared" ref="O3:O41" si="0">IF(N3=0,"",IFERROR(IF(AND(N3&gt;0,D3&lt;0),"na",IF(AND(N3&lt;0,D3&lt;0),-1,1)*(N3-D3)/D3),""))</f>
        <v>-0.13793103448275862</v>
      </c>
      <c r="P3" s="28">
        <f t="shared" ref="P3:P41" si="1">IF(N3=0,"",IFERROR(IF(AND(N3&gt;0,J3&lt;0),"na",IF(AND(N3&lt;0,J3&lt;0),-1,1)*(N3-J3)/J3),""))</f>
        <v>-0.21875</v>
      </c>
      <c r="Q3" s="206"/>
    </row>
    <row r="4" spans="1:17" ht="18" customHeight="1">
      <c r="A4" s="172"/>
      <c r="B4" s="29" t="s">
        <v>184</v>
      </c>
      <c r="C4" s="30"/>
      <c r="D4" s="30">
        <v>9963</v>
      </c>
      <c r="E4" s="30">
        <v>11384</v>
      </c>
      <c r="F4" s="30">
        <v>12088</v>
      </c>
      <c r="G4" s="30">
        <v>15151</v>
      </c>
      <c r="H4" s="30">
        <v>13788</v>
      </c>
      <c r="I4" s="30">
        <v>13805</v>
      </c>
      <c r="J4" s="30">
        <v>12408</v>
      </c>
      <c r="K4" s="30">
        <v>11437</v>
      </c>
      <c r="L4" s="30">
        <v>11767</v>
      </c>
      <c r="M4" s="30">
        <v>11021</v>
      </c>
      <c r="N4" s="30">
        <v>9788</v>
      </c>
      <c r="O4" s="28">
        <f t="shared" si="0"/>
        <v>-1.7564990464719463E-2</v>
      </c>
      <c r="P4" s="28">
        <f t="shared" si="1"/>
        <v>-0.21115409413281755</v>
      </c>
      <c r="Q4" s="206"/>
    </row>
    <row r="5" spans="1:17" ht="18" customHeight="1">
      <c r="A5" s="172"/>
      <c r="B5" s="29" t="s">
        <v>185</v>
      </c>
      <c r="C5" s="30"/>
      <c r="D5" s="30">
        <v>2924</v>
      </c>
      <c r="E5" s="30">
        <v>3364</v>
      </c>
      <c r="F5" s="30">
        <v>3542</v>
      </c>
      <c r="G5" s="30">
        <v>4495</v>
      </c>
      <c r="H5" s="30">
        <v>4210</v>
      </c>
      <c r="I5" s="30">
        <v>4206</v>
      </c>
      <c r="J5" s="30">
        <v>3822</v>
      </c>
      <c r="K5" s="30">
        <v>3563</v>
      </c>
      <c r="L5" s="30">
        <v>3518</v>
      </c>
      <c r="M5" s="30">
        <v>3348</v>
      </c>
      <c r="N5" s="30">
        <v>3073</v>
      </c>
      <c r="O5" s="28">
        <f t="shared" si="0"/>
        <v>5.0957592339261289E-2</v>
      </c>
      <c r="P5" s="28">
        <f t="shared" si="1"/>
        <v>-0.19597069597069597</v>
      </c>
      <c r="Q5" s="207"/>
    </row>
    <row r="6" spans="1:17" ht="18" customHeight="1">
      <c r="A6" s="172"/>
      <c r="B6" s="29" t="s">
        <v>186</v>
      </c>
      <c r="C6" s="30"/>
      <c r="D6" s="30">
        <v>8088.99365234375</v>
      </c>
      <c r="E6" s="30">
        <v>9156.4072265625</v>
      </c>
      <c r="F6" s="30">
        <v>9709.240234375</v>
      </c>
      <c r="G6" s="30">
        <v>12125.767578125</v>
      </c>
      <c r="H6" s="30">
        <v>11063.01171875</v>
      </c>
      <c r="I6" s="30">
        <v>10948.119140625</v>
      </c>
      <c r="J6" s="30">
        <v>9807.9365234375</v>
      </c>
      <c r="K6" s="30">
        <v>9118.6435546875</v>
      </c>
      <c r="L6" s="30">
        <v>9277.9404296875</v>
      </c>
      <c r="M6" s="30">
        <v>8675.3671875</v>
      </c>
      <c r="N6" s="30">
        <v>7724.07958984375</v>
      </c>
      <c r="O6" s="28">
        <f t="shared" si="0"/>
        <v>-4.5112417957488167E-2</v>
      </c>
      <c r="P6" s="28">
        <f t="shared" si="1"/>
        <v>-0.21246639684240093</v>
      </c>
      <c r="Q6" s="206"/>
    </row>
    <row r="7" spans="1:17" ht="18" customHeight="1">
      <c r="A7" s="172"/>
      <c r="B7" s="29" t="s">
        <v>187</v>
      </c>
      <c r="C7" s="30"/>
      <c r="D7" s="30">
        <v>3749.89697265625</v>
      </c>
      <c r="E7" s="30">
        <v>4361.9814453125</v>
      </c>
      <c r="F7" s="30">
        <v>4161.80517578125</v>
      </c>
      <c r="G7" s="30">
        <v>4986.69775390625</v>
      </c>
      <c r="H7" s="30">
        <v>4535.9873046875</v>
      </c>
      <c r="I7" s="30">
        <v>5283.72412109375</v>
      </c>
      <c r="J7" s="30">
        <v>4146.56201171875</v>
      </c>
      <c r="K7" s="30">
        <v>3965.29541015625</v>
      </c>
      <c r="L7" s="30">
        <v>3983.49560546875</v>
      </c>
      <c r="M7" s="30">
        <v>4553.91357421875</v>
      </c>
      <c r="N7" s="30">
        <v>3628.15283203125</v>
      </c>
      <c r="O7" s="28">
        <f t="shared" si="0"/>
        <v>-3.246599613609176E-2</v>
      </c>
      <c r="P7" s="28">
        <f t="shared" si="1"/>
        <v>-0.12502144625412689</v>
      </c>
      <c r="Q7" s="206"/>
    </row>
    <row r="8" spans="1:17" ht="18" customHeight="1">
      <c r="A8" s="172"/>
      <c r="B8" s="29" t="s">
        <v>188</v>
      </c>
      <c r="C8" s="31"/>
      <c r="D8" s="31">
        <f ca="1">7.471409*OFFSET(D$112,MATCH($N$1,$C$112:$C$113,0)-1,0)</f>
        <v>7.4714090000000004</v>
      </c>
      <c r="E8" s="31">
        <f ca="1">10.336438*OFFSET(E$112,MATCH($N$1,$C$112:$C$113,0)-1,0)</f>
        <v>10.336437999999999</v>
      </c>
      <c r="F8" s="31">
        <f ca="1">10.827205*OFFSET(F$112,MATCH($N$1,$C$112:$C$113,0)-1,0)</f>
        <v>10.827204999999999</v>
      </c>
      <c r="G8" s="31">
        <f ca="1">10.962694*OFFSET(G$112,MATCH($N$1,$C$112:$C$113,0)-1,0)</f>
        <v>10.962694000000001</v>
      </c>
      <c r="H8" s="31">
        <f ca="1">11.03356*OFFSET(H$112,MATCH($N$1,$C$112:$C$113,0)-1,0)</f>
        <v>11.03356</v>
      </c>
      <c r="I8" s="31">
        <f ca="1">11.622081*OFFSET(I$112,MATCH($N$1,$C$112:$C$113,0)-1,0)</f>
        <v>11.622081</v>
      </c>
      <c r="J8" s="31">
        <f ca="1">9.947533*OFFSET(J$112,MATCH($N$1,$C$112:$C$113,0)-1,0)</f>
        <v>9.947533</v>
      </c>
      <c r="K8" s="31">
        <f ca="1">9.75644*OFFSET(K$112,MATCH($N$1,$C$112:$C$113,0)-1,0)</f>
        <v>9.7564399999999996</v>
      </c>
      <c r="L8" s="31">
        <f ca="1">9.124836*OFFSET(L$112,MATCH($N$1,$C$112:$C$113,0)-1,0)</f>
        <v>9.1248360000000002</v>
      </c>
      <c r="M8" s="31">
        <f ca="1">11.256716*OFFSET(M$112,MATCH($N$1,$C$112:$C$113,0)-1,0)</f>
        <v>11.256716000000001</v>
      </c>
      <c r="N8" s="31">
        <v>6.3114824999999994</v>
      </c>
      <c r="O8" s="28">
        <f t="shared" ca="1" si="0"/>
        <v>-0.15524869539333222</v>
      </c>
      <c r="P8" s="28">
        <f t="shared" ca="1" si="1"/>
        <v>-0.36552283867769031</v>
      </c>
      <c r="Q8" s="206"/>
    </row>
    <row r="9" spans="1:17" ht="18" customHeight="1">
      <c r="A9" s="172"/>
      <c r="B9" s="29" t="s">
        <v>189</v>
      </c>
      <c r="C9" s="30"/>
      <c r="D9" s="30">
        <v>4837</v>
      </c>
      <c r="E9" s="30">
        <v>4545</v>
      </c>
      <c r="F9" s="30">
        <v>4757</v>
      </c>
      <c r="G9" s="30">
        <v>5846</v>
      </c>
      <c r="H9" s="30">
        <v>5564</v>
      </c>
      <c r="I9" s="30">
        <v>5688</v>
      </c>
      <c r="J9" s="30">
        <v>4479</v>
      </c>
      <c r="K9" s="30">
        <v>4101</v>
      </c>
      <c r="L9" s="30">
        <v>4492</v>
      </c>
      <c r="M9" s="30">
        <v>4485</v>
      </c>
      <c r="N9" s="30">
        <v>3134</v>
      </c>
      <c r="O9" s="28">
        <f t="shared" si="0"/>
        <v>-0.35207773413272692</v>
      </c>
      <c r="P9" s="28">
        <f t="shared" si="1"/>
        <v>-0.30029024335789239</v>
      </c>
      <c r="Q9" s="206"/>
    </row>
    <row r="10" spans="1:17" ht="18" customHeight="1">
      <c r="A10" s="172"/>
      <c r="B10" s="29" t="s">
        <v>190</v>
      </c>
      <c r="C10" s="30"/>
      <c r="D10" s="30">
        <v>154.98562622070313</v>
      </c>
      <c r="E10" s="30">
        <v>154.06608581542969</v>
      </c>
      <c r="F10" s="30">
        <v>168.14761352539063</v>
      </c>
      <c r="G10" s="30">
        <v>172.79386901855469</v>
      </c>
      <c r="H10" s="30">
        <v>183.22886657714844</v>
      </c>
      <c r="I10" s="30">
        <v>252.15367126464844</v>
      </c>
      <c r="J10" s="30">
        <v>196.35560607910156</v>
      </c>
      <c r="K10" s="30">
        <v>197.58836364746094</v>
      </c>
      <c r="L10" s="30">
        <v>216.96339416503906</v>
      </c>
      <c r="M10" s="30">
        <v>169.17935180664063</v>
      </c>
      <c r="N10" s="30">
        <v>122.27321624755859</v>
      </c>
      <c r="O10" s="32">
        <f t="shared" si="0"/>
        <v>-0.21106737941337411</v>
      </c>
      <c r="P10" s="32">
        <f t="shared" si="1"/>
        <v>-0.37728685883151708</v>
      </c>
      <c r="Q10" s="206"/>
    </row>
    <row r="11" spans="1:17" ht="18" customHeight="1">
      <c r="A11" s="173" t="s">
        <v>191</v>
      </c>
      <c r="B11" s="33" t="s">
        <v>192</v>
      </c>
      <c r="C11" s="34"/>
      <c r="D11" s="34">
        <v>20.183103561401367</v>
      </c>
      <c r="E11" s="34">
        <v>20.641290664672852</v>
      </c>
      <c r="F11" s="34">
        <v>20.029411315917969</v>
      </c>
      <c r="G11" s="34">
        <v>20.508293151855469</v>
      </c>
      <c r="H11" s="34">
        <v>20.694595336914063</v>
      </c>
      <c r="I11" s="34">
        <v>20.426944732666016</v>
      </c>
      <c r="J11" s="34">
        <v>20.484375</v>
      </c>
      <c r="K11" s="34">
        <v>20.444334030151367</v>
      </c>
      <c r="L11" s="34">
        <v>20.112258911132813</v>
      </c>
      <c r="M11" s="34">
        <v>19.885171890258789</v>
      </c>
      <c r="N11" s="34">
        <v>20.193199157714844</v>
      </c>
      <c r="O11" s="28">
        <f t="shared" si="0"/>
        <v>5.0020039201421993E-4</v>
      </c>
      <c r="P11" s="28">
        <f t="shared" si="1"/>
        <v>-1.421453387204424E-2</v>
      </c>
      <c r="Q11" s="206"/>
    </row>
    <row r="12" spans="1:17" ht="18" customHeight="1">
      <c r="A12" s="174"/>
      <c r="B12" s="35" t="s">
        <v>184</v>
      </c>
      <c r="C12" s="30"/>
      <c r="D12" s="30">
        <v>343.55172729492188</v>
      </c>
      <c r="E12" s="30">
        <v>367.22579956054688</v>
      </c>
      <c r="F12" s="30">
        <v>355.5294189453125</v>
      </c>
      <c r="G12" s="30">
        <v>369.53659057617188</v>
      </c>
      <c r="H12" s="30">
        <v>372.64865112304688</v>
      </c>
      <c r="I12" s="30">
        <v>383.47222900390625</v>
      </c>
      <c r="J12" s="30">
        <v>387.75</v>
      </c>
      <c r="K12" s="30">
        <v>381.23333740234375</v>
      </c>
      <c r="L12" s="30">
        <v>379.58065795898438</v>
      </c>
      <c r="M12" s="30">
        <v>380.03448486328125</v>
      </c>
      <c r="N12" s="30">
        <v>391.51998901367188</v>
      </c>
      <c r="O12" s="28">
        <f t="shared" si="0"/>
        <v>0.13962456860993064</v>
      </c>
      <c r="P12" s="28">
        <f t="shared" si="1"/>
        <v>9.7227311764587366E-3</v>
      </c>
      <c r="Q12" s="206"/>
    </row>
    <row r="13" spans="1:17" ht="18" customHeight="1">
      <c r="A13" s="174"/>
      <c r="B13" s="35" t="s">
        <v>185</v>
      </c>
      <c r="C13" s="30"/>
      <c r="D13" s="30">
        <v>100.82758331298828</v>
      </c>
      <c r="E13" s="30">
        <v>108.51612854003906</v>
      </c>
      <c r="F13" s="30">
        <v>104.17646789550781</v>
      </c>
      <c r="G13" s="30">
        <v>109.63414764404297</v>
      </c>
      <c r="H13" s="30">
        <v>113.78378295898438</v>
      </c>
      <c r="I13" s="30">
        <v>116.83333587646484</v>
      </c>
      <c r="J13" s="30">
        <v>119.4375</v>
      </c>
      <c r="K13" s="30">
        <v>118.76667022705078</v>
      </c>
      <c r="L13" s="30">
        <v>113.48387145996094</v>
      </c>
      <c r="M13" s="30">
        <v>115.44827270507813</v>
      </c>
      <c r="N13" s="30">
        <v>122.91999816894531</v>
      </c>
      <c r="O13" s="28">
        <f t="shared" si="0"/>
        <v>0.21911082394366144</v>
      </c>
      <c r="P13" s="28">
        <f t="shared" si="1"/>
        <v>2.9157493826857665E-2</v>
      </c>
      <c r="Q13" s="206"/>
    </row>
    <row r="14" spans="1:17" ht="18" customHeight="1">
      <c r="A14" s="174"/>
      <c r="B14" s="35" t="s">
        <v>186</v>
      </c>
      <c r="C14" s="30"/>
      <c r="D14" s="30">
        <v>278.93081665039063</v>
      </c>
      <c r="E14" s="30">
        <v>295.36798095703125</v>
      </c>
      <c r="F14" s="30">
        <v>285.56588745117188</v>
      </c>
      <c r="G14" s="30">
        <v>295.75042724609375</v>
      </c>
      <c r="H14" s="30">
        <v>299.00033569335938</v>
      </c>
      <c r="I14" s="30">
        <v>304.11444091796875</v>
      </c>
      <c r="J14" s="30">
        <v>306.49801635742188</v>
      </c>
      <c r="K14" s="30">
        <v>303.95480346679688</v>
      </c>
      <c r="L14" s="30">
        <v>299.28839111328125</v>
      </c>
      <c r="M14" s="30">
        <v>299.15057373046875</v>
      </c>
      <c r="N14" s="30">
        <v>308.96316528320313</v>
      </c>
      <c r="O14" s="28">
        <f t="shared" si="0"/>
        <v>0.10766952534489861</v>
      </c>
      <c r="P14" s="28">
        <f t="shared" si="1"/>
        <v>8.0429523005673322E-3</v>
      </c>
      <c r="Q14" s="206"/>
    </row>
    <row r="15" spans="1:17" ht="18" customHeight="1">
      <c r="A15" s="174"/>
      <c r="B15" s="35" t="s">
        <v>187</v>
      </c>
      <c r="C15" s="31"/>
      <c r="D15" s="31">
        <v>129.30679321289063</v>
      </c>
      <c r="E15" s="31">
        <v>140.70907592773438</v>
      </c>
      <c r="F15" s="31">
        <v>122.40602874755859</v>
      </c>
      <c r="G15" s="31">
        <v>121.62677001953125</v>
      </c>
      <c r="H15" s="31">
        <v>122.59424591064453</v>
      </c>
      <c r="I15" s="31">
        <v>146.77011108398438</v>
      </c>
      <c r="J15" s="31">
        <v>129.58006286621094</v>
      </c>
      <c r="K15" s="31">
        <v>132.176513671875</v>
      </c>
      <c r="L15" s="31">
        <v>128.49986267089844</v>
      </c>
      <c r="M15" s="31">
        <v>157.03150939941406</v>
      </c>
      <c r="N15" s="31">
        <v>145.12611389160156</v>
      </c>
      <c r="O15" s="28">
        <f t="shared" si="0"/>
        <v>0.12233944006844263</v>
      </c>
      <c r="P15" s="28">
        <f t="shared" si="1"/>
        <v>0.11997255350494497</v>
      </c>
      <c r="Q15" s="206"/>
    </row>
    <row r="16" spans="1:17" ht="18" customHeight="1">
      <c r="A16" s="174"/>
      <c r="B16" s="35" t="s">
        <v>193</v>
      </c>
      <c r="C16" s="31"/>
      <c r="D16" s="31">
        <f ca="1">257.63478125*OFFSET(D$112,MATCH($N$1,$C$112:$C$113,0)-1,0)</f>
        <v>257.63478125</v>
      </c>
      <c r="E16" s="31">
        <f ca="1">333.4335*OFFSET(E$112,MATCH($N$1,$C$112:$C$113,0)-1,0)</f>
        <v>333.43349999999998</v>
      </c>
      <c r="F16" s="31">
        <f ca="1">318.44721875*OFFSET(F$112,MATCH($N$1,$C$112:$C$113,0)-1,0)</f>
        <v>318.44721874999999</v>
      </c>
      <c r="G16" s="31">
        <f ca="1">267.38278125*OFFSET(G$112,MATCH($N$1,$C$112:$C$113,0)-1,0)</f>
        <v>267.38278124999999</v>
      </c>
      <c r="H16" s="31">
        <f ca="1">298.2043125*OFFSET(H$112,MATCH($N$1,$C$112:$C$113,0)-1,0)</f>
        <v>298.20431250000001</v>
      </c>
      <c r="I16" s="31">
        <f ca="1">322.83559375*OFFSET(I$112,MATCH($N$1,$C$112:$C$113,0)-1,0)</f>
        <v>322.83559374999999</v>
      </c>
      <c r="J16" s="31">
        <f ca="1">310.86040625*OFFSET(J$112,MATCH($N$1,$C$112:$C$113,0)-1,0)</f>
        <v>310.86040624999998</v>
      </c>
      <c r="K16" s="31">
        <f ca="1">325.21465625*OFFSET(K$112,MATCH($N$1,$C$112:$C$113,0)-1,0)</f>
        <v>325.21465625000002</v>
      </c>
      <c r="L16" s="31">
        <f ca="1">294.3495625*OFFSET(L$112,MATCH($N$1,$C$112:$C$113,0)-1,0)</f>
        <v>294.34956249999999</v>
      </c>
      <c r="M16" s="31">
        <f ca="1">388.162625*OFFSET(M$112,MATCH($N$1,$C$112:$C$113,0)-1,0)</f>
        <v>388.16262499999999</v>
      </c>
      <c r="N16" s="31">
        <v>252.45929687500001</v>
      </c>
      <c r="O16" s="28">
        <f t="shared" ca="1" si="0"/>
        <v>-2.0088453701357516E-2</v>
      </c>
      <c r="P16" s="28">
        <f t="shared" ca="1" si="1"/>
        <v>-0.18786924356018717</v>
      </c>
      <c r="Q16" s="206"/>
    </row>
    <row r="17" spans="1:16" ht="18" customHeight="1">
      <c r="A17" s="174"/>
      <c r="B17" s="35" t="s">
        <v>189</v>
      </c>
      <c r="C17" s="30"/>
      <c r="D17" s="30">
        <v>166.79310607910156</v>
      </c>
      <c r="E17" s="30">
        <v>146.61289978027344</v>
      </c>
      <c r="F17" s="30">
        <v>139.91175842285156</v>
      </c>
      <c r="G17" s="30">
        <v>142.58537292480469</v>
      </c>
      <c r="H17" s="30">
        <v>150.37837219238281</v>
      </c>
      <c r="I17" s="30">
        <v>158</v>
      </c>
      <c r="J17" s="30">
        <v>139.96875</v>
      </c>
      <c r="K17" s="30">
        <v>136.69999694824219</v>
      </c>
      <c r="L17" s="30">
        <v>144.90322875976563</v>
      </c>
      <c r="M17" s="30">
        <v>154.65516662597656</v>
      </c>
      <c r="N17" s="30">
        <v>125.36000061035156</v>
      </c>
      <c r="O17" s="28">
        <f t="shared" si="0"/>
        <v>-0.24841017978944746</v>
      </c>
      <c r="P17" s="28">
        <f t="shared" si="1"/>
        <v>-0.10437150713747488</v>
      </c>
    </row>
    <row r="18" spans="1:16" ht="18" customHeight="1">
      <c r="A18" s="174"/>
      <c r="B18" s="35" t="s">
        <v>194</v>
      </c>
      <c r="C18" s="30"/>
      <c r="D18" s="30">
        <v>34.896553039550781</v>
      </c>
      <c r="E18" s="30">
        <v>35</v>
      </c>
      <c r="F18" s="30">
        <v>35.235294342041016</v>
      </c>
      <c r="G18" s="30">
        <v>35.804878234863281</v>
      </c>
      <c r="H18" s="30">
        <v>37.43243408203125</v>
      </c>
      <c r="I18" s="30">
        <v>36.166667938232422</v>
      </c>
      <c r="J18" s="30">
        <v>36.34375</v>
      </c>
      <c r="K18" s="30">
        <v>37.700000762939453</v>
      </c>
      <c r="L18" s="30">
        <v>37.967742919921875</v>
      </c>
      <c r="M18" s="30">
        <v>38.241378784179688</v>
      </c>
      <c r="N18" s="30">
        <v>37.479999542236328</v>
      </c>
      <c r="O18" s="28">
        <f t="shared" si="0"/>
        <v>7.4031566950395949E-2</v>
      </c>
      <c r="P18" s="28">
        <f t="shared" si="1"/>
        <v>3.1263959889563632E-2</v>
      </c>
    </row>
    <row r="19" spans="1:16" ht="18" customHeight="1">
      <c r="A19" s="174"/>
      <c r="B19" s="35" t="s">
        <v>195</v>
      </c>
      <c r="C19" s="36"/>
      <c r="D19" s="36">
        <v>0.77525264024734497</v>
      </c>
      <c r="E19" s="36">
        <v>0.95973187685012817</v>
      </c>
      <c r="F19" s="36">
        <v>0.87488019466400146</v>
      </c>
      <c r="G19" s="36">
        <v>0.85301011800765991</v>
      </c>
      <c r="H19" s="36">
        <v>0.81523853540420532</v>
      </c>
      <c r="I19" s="36">
        <v>0.92892473936080933</v>
      </c>
      <c r="J19" s="36">
        <v>0.92577850818634033</v>
      </c>
      <c r="K19" s="36">
        <v>0.96690940856933594</v>
      </c>
      <c r="L19" s="36">
        <v>0.88679778575897217</v>
      </c>
      <c r="M19" s="36">
        <v>1.0153654813766479</v>
      </c>
      <c r="N19" s="36">
        <v>1.1576747894287109</v>
      </c>
      <c r="O19" s="28">
        <f t="shared" si="0"/>
        <v>0.49328712903106514</v>
      </c>
      <c r="P19" s="28">
        <f t="shared" si="1"/>
        <v>0.25048786420487373</v>
      </c>
    </row>
    <row r="20" spans="1:16" ht="18" customHeight="1">
      <c r="A20" s="175"/>
      <c r="B20" s="37" t="s">
        <v>196</v>
      </c>
      <c r="C20" s="38"/>
      <c r="D20" s="38">
        <f ca="1">1992*OFFSET(D$112,MATCH($N$1,$C$112:$C$113,0)-1,0)</f>
        <v>1992</v>
      </c>
      <c r="E20" s="38">
        <f ca="1">2370*OFFSET(E$112,MATCH($N$1,$C$112:$C$113,0)-1,0)</f>
        <v>2370</v>
      </c>
      <c r="F20" s="38">
        <f ca="1">2602*OFFSET(F$112,MATCH($N$1,$C$112:$C$113,0)-1,0)</f>
        <v>2602</v>
      </c>
      <c r="G20" s="38">
        <f ca="1">2198*OFFSET(G$112,MATCH($N$1,$C$112:$C$113,0)-1,0)</f>
        <v>2198</v>
      </c>
      <c r="H20" s="38">
        <f ca="1">2432*OFFSET(H$112,MATCH($N$1,$C$112:$C$113,0)-1,0)</f>
        <v>2432</v>
      </c>
      <c r="I20" s="38">
        <f ca="1">2200*OFFSET(I$112,MATCH($N$1,$C$112:$C$113,0)-1,0)</f>
        <v>2200</v>
      </c>
      <c r="J20" s="38">
        <f ca="1">2399*OFFSET(J$112,MATCH($N$1,$C$112:$C$113,0)-1,0)</f>
        <v>2399</v>
      </c>
      <c r="K20" s="38">
        <f ca="1">2460*OFFSET(K$112,MATCH($N$1,$C$112:$C$113,0)-1,0)</f>
        <v>2460</v>
      </c>
      <c r="L20" s="38">
        <f ca="1">2291*OFFSET(L$112,MATCH($N$1,$C$112:$C$113,0)-1,0)</f>
        <v>2291</v>
      </c>
      <c r="M20" s="38">
        <f ca="1">2472*OFFSET(M$112,MATCH($N$1,$C$112:$C$113,0)-1,0)</f>
        <v>2472</v>
      </c>
      <c r="N20" s="38">
        <v>1740</v>
      </c>
      <c r="O20" s="32">
        <f t="shared" ca="1" si="0"/>
        <v>-0.12650602409638553</v>
      </c>
      <c r="P20" s="32">
        <f t="shared" ca="1" si="1"/>
        <v>-0.2746977907461442</v>
      </c>
    </row>
    <row r="21" spans="1:16" ht="18" customHeight="1">
      <c r="A21" s="176" t="s">
        <v>197</v>
      </c>
      <c r="B21" s="33" t="s">
        <v>198</v>
      </c>
      <c r="C21" s="39"/>
      <c r="D21" s="39">
        <v>2.258428532837454</v>
      </c>
      <c r="E21" s="39">
        <v>2.6763904818963438</v>
      </c>
      <c r="F21" s="39">
        <v>2.493757903178019</v>
      </c>
      <c r="G21" s="39">
        <v>2.2692347110750757</v>
      </c>
      <c r="H21" s="39">
        <v>2.1480577556572968</v>
      </c>
      <c r="I21" s="39">
        <v>2.4498943991317526</v>
      </c>
      <c r="J21" s="39">
        <v>2.4082925636584998</v>
      </c>
      <c r="K21" s="39">
        <v>2.474903497071852</v>
      </c>
      <c r="L21" s="39">
        <v>2.3431638033052349</v>
      </c>
      <c r="M21" s="39">
        <v>2.622688883604738</v>
      </c>
      <c r="N21" s="39">
        <v>2.937787432266024</v>
      </c>
      <c r="O21" s="28">
        <f t="shared" si="0"/>
        <v>0.3008104483054127</v>
      </c>
      <c r="P21" s="28">
        <f t="shared" si="1"/>
        <v>0.21986318298602178</v>
      </c>
    </row>
    <row r="22" spans="1:16" ht="18" customHeight="1">
      <c r="A22" s="176"/>
      <c r="B22" s="35" t="s">
        <v>199</v>
      </c>
      <c r="C22" s="36"/>
      <c r="D22" s="36">
        <f ca="1">4.49976158691353*OFFSET(D$112,MATCH($N$1,$C$112:$C$113,0)-1,0)</f>
        <v>4.4997615869135297</v>
      </c>
      <c r="E22" s="36">
        <f ca="1">6.34215127817131*OFFSET(E$112,MATCH($N$1,$C$112:$C$113,0)-1,0)</f>
        <v>6.3421512781713103</v>
      </c>
      <c r="F22" s="36">
        <f ca="1">6.48767284281912*OFFSET(F$112,MATCH($N$1,$C$112:$C$113,0)-1,0)</f>
        <v>6.4876728428191202</v>
      </c>
      <c r="G22" s="36">
        <f ca="1">4.98865741693921*OFFSET(G$112,MATCH($N$1,$C$112:$C$113,0)-1,0)</f>
        <v>4.9886574169392102</v>
      </c>
      <c r="H22" s="36">
        <f ca="1">5.22504201953298*OFFSET(H$112,MATCH($N$1,$C$112:$C$113,0)-1,0)</f>
        <v>5.2250420195329799</v>
      </c>
      <c r="I22" s="36">
        <f ca="1">5.38878867861539*OFFSET(I$112,MATCH($N$1,$C$112:$C$113,0)-1,0)</f>
        <v>5.3887886786153896</v>
      </c>
      <c r="J22" s="36">
        <f ca="1">5.77745363097018*OFFSET(J$112,MATCH($N$1,$C$112:$C$113,0)-1,0)</f>
        <v>5.7774536309701796</v>
      </c>
      <c r="K22" s="36">
        <f ca="1">6.08939415704539*OFFSET(K$112,MATCH($N$1,$C$112:$C$113,0)-1,0)</f>
        <v>6.0893941570453904</v>
      </c>
      <c r="L22" s="36">
        <f ca="1">5.36739282076238*OFFSET(L$112,MATCH($N$1,$C$112:$C$113,0)-1,0)</f>
        <v>5.3673928207623796</v>
      </c>
      <c r="M22" s="36">
        <f ca="1">6.48296514191268*OFFSET(M$112,MATCH($N$1,$C$112:$C$113,0)-1,0)</f>
        <v>6.4829651419126799</v>
      </c>
      <c r="N22" s="36">
        <v>5.1105326920836998</v>
      </c>
      <c r="O22" s="28">
        <f t="shared" ca="1" si="0"/>
        <v>0.13573410354594129</v>
      </c>
      <c r="P22" s="28">
        <f t="shared" ca="1" si="1"/>
        <v>-0.11543510021637111</v>
      </c>
    </row>
    <row r="23" spans="1:16" ht="18" customHeight="1">
      <c r="A23" s="176"/>
      <c r="B23" s="35" t="s">
        <v>154</v>
      </c>
      <c r="C23" s="36"/>
      <c r="D23" s="36">
        <f ca="1">3.87613585849827*OFFSET(D$112,MATCH($N$1,$C$112:$C$113,0)-1,0)</f>
        <v>3.8761358584982699</v>
      </c>
      <c r="E23" s="36">
        <f ca="1">5.31326376436456*OFFSET(E$112,MATCH($N$1,$C$112:$C$113,0)-1,0)</f>
        <v>5.3132637643645602</v>
      </c>
      <c r="F23" s="36">
        <f ca="1">4.89460268175753*OFFSET(F$112,MATCH($N$1,$C$112:$C$113,0)-1,0)</f>
        <v>4.8946026817575303</v>
      </c>
      <c r="G23" s="36">
        <f ca="1">4.18329595787517*OFFSET(G$112,MATCH($N$1,$C$112:$C$113,0)-1,0)</f>
        <v>4.1832959578751696</v>
      </c>
      <c r="H23" s="36">
        <f ca="1">4.3294170867056*OFFSET(H$112,MATCH($N$1,$C$112:$C$113,0)-1,0)</f>
        <v>4.3294170867056003</v>
      </c>
      <c r="I23" s="36">
        <f ca="1">3.94145714934953*OFFSET(I$112,MATCH($N$1,$C$112:$C$113,0)-1,0)</f>
        <v>3.9414571493495298</v>
      </c>
      <c r="J23" s="36">
        <f ca="1">4.05530486439219*OFFSET(J$112,MATCH($N$1,$C$112:$C$113,0)-1,0)</f>
        <v>4.0553048643921903</v>
      </c>
      <c r="K23" s="36">
        <f ca="1">4.55410218723148*OFFSET(K$112,MATCH($N$1,$C$112:$C$113,0)-1,0)</f>
        <v>4.5541021872314804</v>
      </c>
      <c r="L23" s="36">
        <f ca="1">5.02145497265036*OFFSET(L$112,MATCH($N$1,$C$112:$C$113,0)-1,0)</f>
        <v>5.0214549726503597</v>
      </c>
      <c r="M23" s="36">
        <f ca="1">5.82369557652282*OFFSET(M$112,MATCH($N$1,$C$112:$C$113,0)-1,0)</f>
        <v>5.8236955765228204</v>
      </c>
      <c r="N23" s="36">
        <v>5.34307680422231</v>
      </c>
      <c r="O23" s="28">
        <f t="shared" ca="1" si="0"/>
        <v>0.37845447096696361</v>
      </c>
      <c r="P23" s="28">
        <f t="shared" ca="1" si="1"/>
        <v>0.31755243635009206</v>
      </c>
    </row>
    <row r="24" spans="1:16" ht="18" customHeight="1">
      <c r="A24" s="176"/>
      <c r="B24" s="35" t="s">
        <v>155</v>
      </c>
      <c r="C24" s="36"/>
      <c r="D24" s="36">
        <f ca="1">0.641213650532467*OFFSET(D$112,MATCH($N$1,$C$112:$C$113,0)-1,0)</f>
        <v>0.64121365053246704</v>
      </c>
      <c r="E24" s="36">
        <f ca="1">1.16313165753696*OFFSET(E$112,MATCH($N$1,$C$112:$C$113,0)-1,0)</f>
        <v>1.1631316575369599</v>
      </c>
      <c r="F24" s="36">
        <f ca="1">1.67573544344978*OFFSET(F$112,MATCH($N$1,$C$112:$C$113,0)-1,0)</f>
        <v>1.67573544344978</v>
      </c>
      <c r="G24" s="36">
        <f ca="1">1.00461543787408*OFFSET(G$112,MATCH($N$1,$C$112:$C$113,0)-1,0)</f>
        <v>1.0046154378740799</v>
      </c>
      <c r="H24" s="36">
        <f ca="1">0.895678283247209*OFFSET(H$112,MATCH($N$1,$C$112:$C$113,0)-1,0)</f>
        <v>0.895678283247209</v>
      </c>
      <c r="I24" s="36">
        <f ca="1">1.49797048114841*OFFSET(I$112,MATCH($N$1,$C$112:$C$113,0)-1,0)</f>
        <v>1.49797048114841</v>
      </c>
      <c r="J24" s="36">
        <f ca="1">1.75624439172138*OFFSET(J$112,MATCH($N$1,$C$112:$C$113,0)-1,0)</f>
        <v>1.7562443917213799</v>
      </c>
      <c r="K24" s="36">
        <f ca="1">1.56879092085473*OFFSET(K$112,MATCH($N$1,$C$112:$C$113,0)-1,0)</f>
        <v>1.5687909208547299</v>
      </c>
      <c r="L24" s="36">
        <f ca="1">1.03190512683734*OFFSET(L$112,MATCH($N$1,$C$112:$C$113,0)-1,0)</f>
        <v>1.03190512683734</v>
      </c>
      <c r="M24" s="36">
        <f ca="1">2.13888837058611*OFFSET(M$112,MATCH($N$1,$C$112:$C$113,0)-1,0)</f>
        <v>2.1388883705861099</v>
      </c>
      <c r="N24" s="36">
        <v>1.5707458334417308</v>
      </c>
      <c r="O24" s="28">
        <f t="shared" ca="1" si="0"/>
        <v>1.4496450319443068</v>
      </c>
      <c r="P24" s="28">
        <f t="shared" ca="1" si="1"/>
        <v>-0.10562229217872862</v>
      </c>
    </row>
    <row r="25" spans="1:16" ht="18" customHeight="1">
      <c r="A25" s="176"/>
      <c r="B25" s="35" t="s">
        <v>200</v>
      </c>
      <c r="C25" s="31"/>
      <c r="D25" s="31">
        <f ca="1">48.2*OFFSET(D$112,MATCH($N$1,$C$112:$C$113,0)-1,0)</f>
        <v>48.2</v>
      </c>
      <c r="E25" s="31">
        <f ca="1">67.08*OFFSET(E$112,MATCH($N$1,$C$112:$C$113,0)-1,0)</f>
        <v>67.08</v>
      </c>
      <c r="F25" s="31">
        <f ca="1">64.38*OFFSET(F$112,MATCH($N$1,$C$112:$C$113,0)-1,0)</f>
        <v>64.38</v>
      </c>
      <c r="G25" s="31">
        <f ca="1">63.45*OFFSET(G$112,MATCH($N$1,$C$112:$C$113,0)-1,0)</f>
        <v>63.45</v>
      </c>
      <c r="H25" s="31">
        <f ca="1">60.22*OFFSET(H$112,MATCH($N$1,$C$112:$C$113,0)-1,0)</f>
        <v>60.22</v>
      </c>
      <c r="I25" s="31">
        <f ca="1">46.09*OFFSET(I$112,MATCH($N$1,$C$112:$C$113,0)-1,0)</f>
        <v>46.09</v>
      </c>
      <c r="J25" s="31">
        <f ca="1">50.67*OFFSET(J$112,MATCH($N$1,$C$112:$C$113,0)-1,0)</f>
        <v>50.67</v>
      </c>
      <c r="K25" s="31">
        <f ca="1">49.38*OFFSET(K$112,MATCH($N$1,$C$112:$C$113,0)-1,0)</f>
        <v>49.38</v>
      </c>
      <c r="L25" s="31">
        <f ca="1">42.05*OFFSET(L$112,MATCH($N$1,$C$112:$C$113,0)-1,0)</f>
        <v>42.05</v>
      </c>
      <c r="M25" s="31">
        <f ca="1">66.54*OFFSET(M$112,MATCH($N$1,$C$112:$C$113,0)-1,0)</f>
        <v>66.540000000000006</v>
      </c>
      <c r="N25" s="31">
        <v>51.63</v>
      </c>
      <c r="O25" s="28">
        <f t="shared" ca="1" si="0"/>
        <v>7.1161825726141062E-2</v>
      </c>
      <c r="P25" s="28">
        <f t="shared" ca="1" si="1"/>
        <v>1.894612196566017E-2</v>
      </c>
    </row>
    <row r="26" spans="1:16" ht="18" customHeight="1">
      <c r="A26" s="177"/>
      <c r="B26" s="35" t="s">
        <v>201</v>
      </c>
      <c r="C26" s="31"/>
      <c r="D26" s="31">
        <f ca="1">6.87*OFFSET(D$112,MATCH($N$1,$C$112:$C$113,0)-1,0)</f>
        <v>6.87</v>
      </c>
      <c r="E26" s="31">
        <f ca="1">12.31*OFFSET(E$112,MATCH($N$1,$C$112:$C$113,0)-1,0)</f>
        <v>12.31</v>
      </c>
      <c r="F26" s="31">
        <f ca="1">16.64*OFFSET(F$112,MATCH($N$1,$C$112:$C$113,0)-1,0)</f>
        <v>16.64</v>
      </c>
      <c r="G26" s="31">
        <f ca="1">12.77*OFFSET(G$112,MATCH($N$1,$C$112:$C$113,0)-1,0)</f>
        <v>12.77</v>
      </c>
      <c r="H26" s="31">
        <f ca="1">10.32*OFFSET(H$112,MATCH($N$1,$C$112:$C$113,0)-1,0)</f>
        <v>10.32</v>
      </c>
      <c r="I26" s="31">
        <f ca="1">12.81*OFFSET(I$112,MATCH($N$1,$C$112:$C$113,0)-1,0)</f>
        <v>12.81</v>
      </c>
      <c r="J26" s="31">
        <f ca="1">15.4*OFFSET(J$112,MATCH($N$1,$C$112:$C$113,0)-1,0)</f>
        <v>15.4</v>
      </c>
      <c r="K26" s="31">
        <f ca="1">12.72*OFFSET(K$112,MATCH($N$1,$C$112:$C$113,0)-1,0)</f>
        <v>12.72</v>
      </c>
      <c r="L26" s="31">
        <f ca="1">8.09*OFFSET(L$112,MATCH($N$1,$C$112:$C$113,0)-1,0)</f>
        <v>8.09</v>
      </c>
      <c r="M26" s="31">
        <f ca="1">21.96*OFFSET(M$112,MATCH($N$1,$C$112:$C$113,0)-1,0)</f>
        <v>21.96</v>
      </c>
      <c r="N26" s="31">
        <v>15.87</v>
      </c>
      <c r="O26" s="32">
        <f t="shared" ca="1" si="0"/>
        <v>1.3100436681222707</v>
      </c>
      <c r="P26" s="32">
        <f t="shared" ca="1" si="1"/>
        <v>3.0519480519480446E-2</v>
      </c>
    </row>
    <row r="27" spans="1:16" ht="18" customHeight="1">
      <c r="A27" s="166" t="s">
        <v>202</v>
      </c>
      <c r="B27" s="33" t="s">
        <v>193</v>
      </c>
      <c r="C27" s="34"/>
      <c r="D27" s="34">
        <f ca="1">257.6*OFFSET(D$112,MATCH($N$1,$C$112:$C$113,0)-1,0)</f>
        <v>257.60000000000002</v>
      </c>
      <c r="E27" s="34">
        <f ca="1">333.4*OFFSET(E$112,MATCH($N$1,$C$112:$C$113,0)-1,0)</f>
        <v>333.4</v>
      </c>
      <c r="F27" s="34">
        <f ca="1">318.4*OFFSET(F$112,MATCH($N$1,$C$112:$C$113,0)-1,0)</f>
        <v>318.39999999999998</v>
      </c>
      <c r="G27" s="34">
        <f ca="1">267.4*OFFSET(G$112,MATCH($N$1,$C$112:$C$113,0)-1,0)</f>
        <v>267.39999999999998</v>
      </c>
      <c r="H27" s="34">
        <f ca="1">298.2*OFFSET(H$112,MATCH($N$1,$C$112:$C$113,0)-1,0)</f>
        <v>298.2</v>
      </c>
      <c r="I27" s="34">
        <f ca="1">322.8*OFFSET(I$112,MATCH($N$1,$C$112:$C$113,0)-1,0)</f>
        <v>322.8</v>
      </c>
      <c r="J27" s="34">
        <f ca="1">310.9*OFFSET(J$112,MATCH($N$1,$C$112:$C$113,0)-1,0)</f>
        <v>310.89999999999998</v>
      </c>
      <c r="K27" s="34">
        <f ca="1">325.2*OFFSET(K$112,MATCH($N$1,$C$112:$C$113,0)-1,0)</f>
        <v>325.2</v>
      </c>
      <c r="L27" s="34">
        <f ca="1">294.3*OFFSET(L$112,MATCH($N$1,$C$112:$C$113,0)-1,0)</f>
        <v>294.3</v>
      </c>
      <c r="M27" s="34">
        <f ca="1">388.2*OFFSET(M$112,MATCH($N$1,$C$112:$C$113,0)-1,0)</f>
        <v>388.2</v>
      </c>
      <c r="N27" s="34">
        <v>252.5</v>
      </c>
      <c r="O27" s="28">
        <f t="shared" ca="1" si="0"/>
        <v>-1.9798136645962819E-2</v>
      </c>
      <c r="P27" s="28">
        <f t="shared" ca="1" si="1"/>
        <v>-0.1878417497587648</v>
      </c>
    </row>
    <row r="28" spans="1:16" ht="18" customHeight="1">
      <c r="A28" s="178"/>
      <c r="B28" s="35" t="s">
        <v>203</v>
      </c>
      <c r="C28" s="31"/>
      <c r="D28" s="31">
        <f ca="1">1*OFFSET(D$112,MATCH($N$1,$C$112:$C$113,0)-1,0)</f>
        <v>1</v>
      </c>
      <c r="E28" s="31">
        <f ca="1">7.1*OFFSET(E$112,MATCH($N$1,$C$112:$C$113,0)-1,0)</f>
        <v>7.1</v>
      </c>
      <c r="F28" s="31">
        <f ca="1">4.1*OFFSET(F$112,MATCH($N$1,$C$112:$C$113,0)-1,0)</f>
        <v>4.0999999999999996</v>
      </c>
      <c r="G28" s="31">
        <f ca="1">10.7*OFFSET(G$112,MATCH($N$1,$C$112:$C$113,0)-1,0)</f>
        <v>10.7</v>
      </c>
      <c r="H28" s="31"/>
      <c r="I28" s="31">
        <f ca="1">3*OFFSET(I$112,MATCH($N$1,$C$112:$C$113,0)-1,0)</f>
        <v>3</v>
      </c>
      <c r="J28" s="31">
        <f ca="1">1.8*OFFSET(J$112,MATCH($N$1,$C$112:$C$113,0)-1,0)</f>
        <v>1.8</v>
      </c>
      <c r="K28" s="31">
        <f ca="1">1.8*OFFSET(K$112,MATCH($N$1,$C$112:$C$113,0)-1,0)</f>
        <v>1.8</v>
      </c>
      <c r="L28" s="31">
        <f ca="1">37.6*OFFSET(L$112,MATCH($N$1,$C$112:$C$113,0)-1,0)</f>
        <v>37.6</v>
      </c>
      <c r="M28" s="31">
        <f ca="1">88.6*OFFSET(M$112,MATCH($N$1,$C$112:$C$113,0)-1,0)</f>
        <v>88.6</v>
      </c>
      <c r="N28" s="31">
        <v>89.100000000000009</v>
      </c>
      <c r="O28" s="28">
        <f t="shared" ca="1" si="0"/>
        <v>88.100000000000009</v>
      </c>
      <c r="P28" s="28">
        <f t="shared" ca="1" si="1"/>
        <v>48.500000000000007</v>
      </c>
    </row>
    <row r="29" spans="1:16" ht="18" customHeight="1">
      <c r="A29" s="178"/>
      <c r="B29" s="40" t="s">
        <v>204</v>
      </c>
      <c r="C29" s="41"/>
      <c r="D29" s="41">
        <f ca="1">258.6*OFFSET(D$112,MATCH($N$1,$C$112:$C$113,0)-1,0)</f>
        <v>258.60000000000002</v>
      </c>
      <c r="E29" s="41">
        <f ca="1">340.5*OFFSET(E$112,MATCH($N$1,$C$112:$C$113,0)-1,0)</f>
        <v>340.5</v>
      </c>
      <c r="F29" s="41">
        <f ca="1">322.5*OFFSET(F$112,MATCH($N$1,$C$112:$C$113,0)-1,0)</f>
        <v>322.5</v>
      </c>
      <c r="G29" s="41">
        <f ca="1">278.1*OFFSET(G$112,MATCH($N$1,$C$112:$C$113,0)-1,0)</f>
        <v>278.10000000000002</v>
      </c>
      <c r="H29" s="41">
        <f ca="1">298.2*OFFSET(H$112,MATCH($N$1,$C$112:$C$113,0)-1,0)</f>
        <v>298.2</v>
      </c>
      <c r="I29" s="41">
        <f ca="1">325.9*OFFSET(I$112,MATCH($N$1,$C$112:$C$113,0)-1,0)</f>
        <v>325.89999999999998</v>
      </c>
      <c r="J29" s="41">
        <f ca="1">312.7*OFFSET(J$112,MATCH($N$1,$C$112:$C$113,0)-1,0)</f>
        <v>312.7</v>
      </c>
      <c r="K29" s="41">
        <f ca="1">327*OFFSET(K$112,MATCH($N$1,$C$112:$C$113,0)-1,0)</f>
        <v>327</v>
      </c>
      <c r="L29" s="41">
        <f ca="1">332*OFFSET(L$112,MATCH($N$1,$C$112:$C$113,0)-1,0)</f>
        <v>332</v>
      </c>
      <c r="M29" s="41">
        <f ca="1">476.8*OFFSET(M$112,MATCH($N$1,$C$112:$C$113,0)-1,0)</f>
        <v>476.8</v>
      </c>
      <c r="N29" s="41">
        <v>341.5</v>
      </c>
      <c r="O29" s="28">
        <f t="shared" ca="1" si="0"/>
        <v>0.32057231245166268</v>
      </c>
      <c r="P29" s="28">
        <f t="shared" ca="1" si="1"/>
        <v>9.2101055324592299E-2</v>
      </c>
    </row>
    <row r="30" spans="1:16" ht="18" customHeight="1">
      <c r="A30" s="178"/>
      <c r="B30" s="35" t="s">
        <v>205</v>
      </c>
      <c r="C30" s="31"/>
      <c r="D30" s="31">
        <f ca="1">64.6*OFFSET(D$112,MATCH($N$1,$C$112:$C$113,0)-1,0)</f>
        <v>64.599999999999994</v>
      </c>
      <c r="E30" s="31">
        <f ca="1">75.4*OFFSET(E$112,MATCH($N$1,$C$112:$C$113,0)-1,0)</f>
        <v>75.400000000000006</v>
      </c>
      <c r="F30" s="31">
        <f ca="1">71.5*OFFSET(F$112,MATCH($N$1,$C$112:$C$113,0)-1,0)</f>
        <v>71.5</v>
      </c>
      <c r="G30" s="31">
        <f ca="1">72.1*OFFSET(G$112,MATCH($N$1,$C$112:$C$113,0)-1,0)</f>
        <v>72.099999999999994</v>
      </c>
      <c r="H30" s="31">
        <f ca="1">70.1*OFFSET(H$112,MATCH($N$1,$C$112:$C$113,0)-1,0)</f>
        <v>70.099999999999994</v>
      </c>
      <c r="I30" s="31">
        <f ca="1">52.4*OFFSET(I$112,MATCH($N$1,$C$112:$C$113,0)-1,0)</f>
        <v>52.4</v>
      </c>
      <c r="J30" s="31">
        <f ca="1">41.5*OFFSET(J$112,MATCH($N$1,$C$112:$C$113,0)-1,0)</f>
        <v>41.5</v>
      </c>
      <c r="K30" s="31">
        <f ca="1">51*OFFSET(K$112,MATCH($N$1,$C$112:$C$113,0)-1,0)</f>
        <v>51</v>
      </c>
      <c r="L30" s="31">
        <f ca="1">61.2*OFFSET(L$112,MATCH($N$1,$C$112:$C$113,0)-1,0)</f>
        <v>61.2</v>
      </c>
      <c r="M30" s="31">
        <f ca="1">65.7*OFFSET(M$112,MATCH($N$1,$C$112:$C$113,0)-1,0)</f>
        <v>65.7</v>
      </c>
      <c r="N30" s="31">
        <v>40.5</v>
      </c>
      <c r="O30" s="28">
        <f t="shared" ca="1" si="0"/>
        <v>-0.37306501547987608</v>
      </c>
      <c r="P30" s="28">
        <f t="shared" ca="1" si="1"/>
        <v>-2.4096385542168676E-2</v>
      </c>
    </row>
    <row r="31" spans="1:16" ht="18" customHeight="1">
      <c r="A31" s="178"/>
      <c r="B31" s="35" t="s">
        <v>206</v>
      </c>
      <c r="C31" s="31"/>
      <c r="D31" s="31">
        <f ca="1">46.2*OFFSET(D$112,MATCH($N$1,$C$112:$C$113,0)-1,0)</f>
        <v>46.2</v>
      </c>
      <c r="E31" s="31">
        <f ca="1">89.7*OFFSET(E$112,MATCH($N$1,$C$112:$C$113,0)-1,0)</f>
        <v>89.7</v>
      </c>
      <c r="F31" s="31">
        <f ca="1">83.5*OFFSET(F$112,MATCH($N$1,$C$112:$C$113,0)-1,0)</f>
        <v>83.5</v>
      </c>
      <c r="G31" s="31">
        <f ca="1">64.1*OFFSET(G$112,MATCH($N$1,$C$112:$C$113,0)-1,0)</f>
        <v>64.099999999999994</v>
      </c>
      <c r="H31" s="31">
        <f ca="1">69.2*OFFSET(H$112,MATCH($N$1,$C$112:$C$113,0)-1,0)</f>
        <v>69.2</v>
      </c>
      <c r="I31" s="31">
        <f ca="1">95*OFFSET(I$112,MATCH($N$1,$C$112:$C$113,0)-1,0)</f>
        <v>95</v>
      </c>
      <c r="J31" s="31">
        <f ca="1">97.9*OFFSET(J$112,MATCH($N$1,$C$112:$C$113,0)-1,0)</f>
        <v>97.9</v>
      </c>
      <c r="K31" s="31">
        <f ca="1">91.6*OFFSET(K$112,MATCH($N$1,$C$112:$C$113,0)-1,0)</f>
        <v>91.6</v>
      </c>
      <c r="L31" s="31">
        <f ca="1">108.6*OFFSET(L$112,MATCH($N$1,$C$112:$C$113,0)-1,0)</f>
        <v>108.6</v>
      </c>
      <c r="M31" s="31">
        <f ca="1">132.5*OFFSET(M$112,MATCH($N$1,$C$112:$C$113,0)-1,0)</f>
        <v>132.5</v>
      </c>
      <c r="N31" s="31">
        <v>87.3</v>
      </c>
      <c r="O31" s="28">
        <f t="shared" ca="1" si="0"/>
        <v>0.88961038961038941</v>
      </c>
      <c r="P31" s="28">
        <f t="shared" ca="1" si="1"/>
        <v>-0.108273748723187</v>
      </c>
    </row>
    <row r="32" spans="1:16" ht="18" customHeight="1">
      <c r="A32" s="178"/>
      <c r="B32" s="35" t="s">
        <v>207</v>
      </c>
      <c r="C32" s="31"/>
      <c r="D32" s="31">
        <f ca="1">44.7*OFFSET(D$112,MATCH($N$1,$C$112:$C$113,0)-1,0)</f>
        <v>44.7</v>
      </c>
      <c r="E32" s="31">
        <f ca="1">47.2*OFFSET(E$112,MATCH($N$1,$C$112:$C$113,0)-1,0)</f>
        <v>47.2</v>
      </c>
      <c r="F32" s="31">
        <f ca="1">47.3*OFFSET(F$112,MATCH($N$1,$C$112:$C$113,0)-1,0)</f>
        <v>47.3</v>
      </c>
      <c r="G32" s="31">
        <f ca="1">41.2*OFFSET(G$112,MATCH($N$1,$C$112:$C$113,0)-1,0)</f>
        <v>41.2</v>
      </c>
      <c r="H32" s="31">
        <f ca="1">41.9*OFFSET(H$112,MATCH($N$1,$C$112:$C$113,0)-1,0)</f>
        <v>41.9</v>
      </c>
      <c r="I32" s="31">
        <f ca="1">42.4*OFFSET(I$112,MATCH($N$1,$C$112:$C$113,0)-1,0)</f>
        <v>42.4</v>
      </c>
      <c r="J32" s="31">
        <f ca="1">34.1*OFFSET(J$112,MATCH($N$1,$C$112:$C$113,0)-1,0)</f>
        <v>34.1</v>
      </c>
      <c r="K32" s="31">
        <f ca="1">45.5*OFFSET(K$112,MATCH($N$1,$C$112:$C$113,0)-1,0)</f>
        <v>45.5</v>
      </c>
      <c r="L32" s="31">
        <f ca="1">30*OFFSET(L$112,MATCH($N$1,$C$112:$C$113,0)-1,0)</f>
        <v>30</v>
      </c>
      <c r="M32" s="31">
        <f ca="1">48.7*OFFSET(M$112,MATCH($N$1,$C$112:$C$113,0)-1,0)</f>
        <v>48.7</v>
      </c>
      <c r="N32" s="31">
        <v>31.7</v>
      </c>
      <c r="O32" s="28">
        <f t="shared" ca="1" si="0"/>
        <v>-0.29082774049217008</v>
      </c>
      <c r="P32" s="28">
        <f t="shared" ca="1" si="1"/>
        <v>-7.0381231671554315E-2</v>
      </c>
    </row>
    <row r="33" spans="1:16" ht="18" customHeight="1">
      <c r="A33" s="178"/>
      <c r="B33" s="35" t="s">
        <v>208</v>
      </c>
      <c r="C33" s="31"/>
      <c r="D33" s="31">
        <f ca="1">155.5*OFFSET(D$112,MATCH($N$1,$C$112:$C$113,0)-1,0)</f>
        <v>155.5</v>
      </c>
      <c r="E33" s="31">
        <f ca="1">212.3*OFFSET(E$112,MATCH($N$1,$C$112:$C$113,0)-1,0)</f>
        <v>212.3</v>
      </c>
      <c r="F33" s="31">
        <f ca="1">202.3*OFFSET(F$112,MATCH($N$1,$C$112:$C$113,0)-1,0)</f>
        <v>202.3</v>
      </c>
      <c r="G33" s="31">
        <f ca="1">177.4*OFFSET(G$112,MATCH($N$1,$C$112:$C$113,0)-1,0)</f>
        <v>177.4</v>
      </c>
      <c r="H33" s="31">
        <f ca="1">181.2*OFFSET(H$112,MATCH($N$1,$C$112:$C$113,0)-1,0)</f>
        <v>181.2</v>
      </c>
      <c r="I33" s="31">
        <f ca="1">189.7*OFFSET(I$112,MATCH($N$1,$C$112:$C$113,0)-1,0)</f>
        <v>189.7</v>
      </c>
      <c r="J33" s="31">
        <f ca="1">173.6*OFFSET(J$112,MATCH($N$1,$C$112:$C$113,0)-1,0)</f>
        <v>173.6</v>
      </c>
      <c r="K33" s="31">
        <f ca="1">188.1*OFFSET(K$112,MATCH($N$1,$C$112:$C$113,0)-1,0)</f>
        <v>188.1</v>
      </c>
      <c r="L33" s="31">
        <f ca="1">199.9*OFFSET(L$112,MATCH($N$1,$C$112:$C$113,0)-1,0)</f>
        <v>199.9</v>
      </c>
      <c r="M33" s="31">
        <f ca="1">247*OFFSET(M$112,MATCH($N$1,$C$112:$C$113,0)-1,0)</f>
        <v>247</v>
      </c>
      <c r="N33" s="31">
        <v>159.5</v>
      </c>
      <c r="O33" s="28">
        <f t="shared" ca="1" si="0"/>
        <v>2.5723472668810289E-2</v>
      </c>
      <c r="P33" s="28">
        <f t="shared" ca="1" si="1"/>
        <v>-8.1221198156681995E-2</v>
      </c>
    </row>
    <row r="34" spans="1:16" ht="18" customHeight="1">
      <c r="A34" s="178"/>
      <c r="B34" s="35" t="s">
        <v>209</v>
      </c>
      <c r="C34" s="31"/>
      <c r="D34" s="31">
        <f ca="1">66.5*OFFSET(D$112,MATCH($N$1,$C$112:$C$113,0)-1,0)</f>
        <v>66.5</v>
      </c>
      <c r="E34" s="31">
        <f ca="1">67.1*OFFSET(E$112,MATCH($N$1,$C$112:$C$113,0)-1,0)</f>
        <v>67.099999999999994</v>
      </c>
      <c r="F34" s="31">
        <f ca="1">37.9*OFFSET(F$112,MATCH($N$1,$C$112:$C$113,0)-1,0)</f>
        <v>37.9</v>
      </c>
      <c r="G34" s="31">
        <f ca="1">46.9*OFFSET(G$112,MATCH($N$1,$C$112:$C$113,0)-1,0)</f>
        <v>46.9</v>
      </c>
      <c r="H34" s="31">
        <f ca="1">65.9*OFFSET(H$112,MATCH($N$1,$C$112:$C$113,0)-1,0)</f>
        <v>65.900000000000006</v>
      </c>
      <c r="I34" s="31">
        <f ca="1">46.4*OFFSET(I$112,MATCH($N$1,$C$112:$C$113,0)-1,0)</f>
        <v>46.4</v>
      </c>
      <c r="J34" s="31">
        <f ca="1">44.6*OFFSET(J$112,MATCH($N$1,$C$112:$C$113,0)-1,0)</f>
        <v>44.6</v>
      </c>
      <c r="K34" s="31">
        <f ca="1">55.1*OFFSET(K$112,MATCH($N$1,$C$112:$C$113,0)-1,0)</f>
        <v>55.1</v>
      </c>
      <c r="L34" s="31">
        <f ca="1">75.5*OFFSET(L$112,MATCH($N$1,$C$112:$C$113,0)-1,0)</f>
        <v>75.5</v>
      </c>
      <c r="M34" s="31">
        <f ca="1">101.7*OFFSET(M$112,MATCH($N$1,$C$112:$C$113,0)-1,0)</f>
        <v>101.7</v>
      </c>
      <c r="N34" s="31">
        <v>104.4</v>
      </c>
      <c r="O34" s="28">
        <f t="shared" ca="1" si="0"/>
        <v>0.56992481203007528</v>
      </c>
      <c r="P34" s="28">
        <f t="shared" ca="1" si="1"/>
        <v>1.3408071748878925</v>
      </c>
    </row>
    <row r="35" spans="1:16" ht="18" customHeight="1">
      <c r="A35" s="178"/>
      <c r="B35" s="35" t="s">
        <v>210</v>
      </c>
      <c r="C35" s="31"/>
      <c r="D35" s="31">
        <f ca="1">221.9*OFFSET(D$112,MATCH($N$1,$C$112:$C$113,0)-1,0)</f>
        <v>221.9</v>
      </c>
      <c r="E35" s="31">
        <f ca="1">279.3*OFFSET(E$112,MATCH($N$1,$C$112:$C$113,0)-1,0)</f>
        <v>279.3</v>
      </c>
      <c r="F35" s="31">
        <f ca="1">240.3*OFFSET(F$112,MATCH($N$1,$C$112:$C$113,0)-1,0)</f>
        <v>240.3</v>
      </c>
      <c r="G35" s="31">
        <f ca="1">224.2*OFFSET(G$112,MATCH($N$1,$C$112:$C$113,0)-1,0)</f>
        <v>224.2</v>
      </c>
      <c r="H35" s="31">
        <f ca="1">247.1*OFFSET(H$112,MATCH($N$1,$C$112:$C$113,0)-1,0)</f>
        <v>247.1</v>
      </c>
      <c r="I35" s="31">
        <f ca="1">236.1*OFFSET(I$112,MATCH($N$1,$C$112:$C$113,0)-1,0)</f>
        <v>236.1</v>
      </c>
      <c r="J35" s="31">
        <f ca="1">218.2*OFFSET(J$112,MATCH($N$1,$C$112:$C$113,0)-1,0)</f>
        <v>218.2</v>
      </c>
      <c r="K35" s="31">
        <f ca="1">243.2*OFFSET(K$112,MATCH($N$1,$C$112:$C$113,0)-1,0)</f>
        <v>243.2</v>
      </c>
      <c r="L35" s="31">
        <f ca="1">275.4*OFFSET(L$112,MATCH($N$1,$C$112:$C$113,0)-1,0)</f>
        <v>275.39999999999998</v>
      </c>
      <c r="M35" s="31">
        <f ca="1">348.7*OFFSET(M$112,MATCH($N$1,$C$112:$C$113,0)-1,0)</f>
        <v>348.7</v>
      </c>
      <c r="N35" s="31">
        <v>263.89999999999998</v>
      </c>
      <c r="O35" s="28">
        <f t="shared" ca="1" si="0"/>
        <v>0.18927444794952669</v>
      </c>
      <c r="P35" s="28">
        <f t="shared" ca="1" si="1"/>
        <v>0.20944087992667274</v>
      </c>
    </row>
    <row r="36" spans="1:16" ht="18" customHeight="1">
      <c r="A36" s="178"/>
      <c r="B36" s="40" t="s">
        <v>211</v>
      </c>
      <c r="C36" s="41"/>
      <c r="D36" s="41">
        <f ca="1">82.9*OFFSET(D$112,MATCH($N$1,$C$112:$C$113,0)-1,0)</f>
        <v>82.9</v>
      </c>
      <c r="E36" s="41">
        <f ca="1">150.9*OFFSET(E$112,MATCH($N$1,$C$112:$C$113,0)-1,0)</f>
        <v>150.9</v>
      </c>
      <c r="F36" s="41">
        <f ca="1">165.8*OFFSET(F$112,MATCH($N$1,$C$112:$C$113,0)-1,0)</f>
        <v>165.8</v>
      </c>
      <c r="G36" s="41">
        <f ca="1">117.9*OFFSET(G$112,MATCH($N$1,$C$112:$C$113,0)-1,0)</f>
        <v>117.9</v>
      </c>
      <c r="H36" s="41">
        <f ca="1">120.3*OFFSET(H$112,MATCH($N$1,$C$112:$C$113,0)-1,0)</f>
        <v>120.3</v>
      </c>
      <c r="I36" s="41">
        <f ca="1">184.7*OFFSET(I$112,MATCH($N$1,$C$112:$C$113,0)-1,0)</f>
        <v>184.7</v>
      </c>
      <c r="J36" s="41">
        <f ca="1">192.4*OFFSET(J$112,MATCH($N$1,$C$112:$C$113,0)-1,0)</f>
        <v>192.4</v>
      </c>
      <c r="K36" s="41">
        <f ca="1">175.4*OFFSET(K$112,MATCH($N$1,$C$112:$C$113,0)-1,0)</f>
        <v>175.4</v>
      </c>
      <c r="L36" s="41">
        <f ca="1">165.2*OFFSET(L$112,MATCH($N$1,$C$112:$C$113,0)-1,0)</f>
        <v>165.2</v>
      </c>
      <c r="M36" s="41">
        <f ca="1">260.6*OFFSET(M$112,MATCH($N$1,$C$112:$C$113,0)-1,0)</f>
        <v>260.60000000000002</v>
      </c>
      <c r="N36" s="41">
        <v>164.9</v>
      </c>
      <c r="O36" s="28">
        <f t="shared" ca="1" si="0"/>
        <v>0.98914354644149571</v>
      </c>
      <c r="P36" s="28">
        <f t="shared" ca="1" si="1"/>
        <v>-0.14293139293139293</v>
      </c>
    </row>
    <row r="37" spans="1:16" ht="18" customHeight="1">
      <c r="A37" s="178"/>
      <c r="B37" s="40" t="s">
        <v>212</v>
      </c>
      <c r="C37" s="41"/>
      <c r="D37" s="41">
        <f ca="1">36.7*OFFSET(D$112,MATCH($N$1,$C$112:$C$113,0)-1,0)</f>
        <v>36.700000000000003</v>
      </c>
      <c r="E37" s="41">
        <f ca="1">61.2*OFFSET(E$112,MATCH($N$1,$C$112:$C$113,0)-1,0)</f>
        <v>61.2</v>
      </c>
      <c r="F37" s="41">
        <f ca="1">82.3*OFFSET(F$112,MATCH($N$1,$C$112:$C$113,0)-1,0)</f>
        <v>82.3</v>
      </c>
      <c r="G37" s="41">
        <f ca="1">53.8*OFFSET(G$112,MATCH($N$1,$C$112:$C$113,0)-1,0)</f>
        <v>53.8</v>
      </c>
      <c r="H37" s="41">
        <f ca="1">51.1*OFFSET(H$112,MATCH($N$1,$C$112:$C$113,0)-1,0)</f>
        <v>51.1</v>
      </c>
      <c r="I37" s="41">
        <f ca="1">89.7*OFFSET(I$112,MATCH($N$1,$C$112:$C$113,0)-1,0)</f>
        <v>89.7</v>
      </c>
      <c r="J37" s="41">
        <f ca="1">94.5*OFFSET(J$112,MATCH($N$1,$C$112:$C$113,0)-1,0)</f>
        <v>94.5</v>
      </c>
      <c r="K37" s="41">
        <f ca="1">83.8*OFFSET(K$112,MATCH($N$1,$C$112:$C$113,0)-1,0)</f>
        <v>83.8</v>
      </c>
      <c r="L37" s="41">
        <f ca="1">56.6*OFFSET(L$112,MATCH($N$1,$C$112:$C$113,0)-1,0)</f>
        <v>56.6</v>
      </c>
      <c r="M37" s="41">
        <f ca="1">128.1*OFFSET(M$112,MATCH($N$1,$C$112:$C$113,0)-1,0)</f>
        <v>128.1</v>
      </c>
      <c r="N37" s="41">
        <v>77.600000000000009</v>
      </c>
      <c r="O37" s="28">
        <f t="shared" ca="1" si="0"/>
        <v>1.1144414168937331</v>
      </c>
      <c r="P37" s="28">
        <f t="shared" ca="1" si="1"/>
        <v>-0.17883597883597874</v>
      </c>
    </row>
    <row r="38" spans="1:16" ht="18" customHeight="1">
      <c r="A38" s="178"/>
      <c r="B38" s="35" t="s">
        <v>213</v>
      </c>
      <c r="C38" s="31"/>
      <c r="D38" s="31">
        <f ca="1">11.6*OFFSET(D$112,MATCH($N$1,$C$112:$C$113,0)-1,0)</f>
        <v>11.6</v>
      </c>
      <c r="E38" s="31">
        <f ca="1">9.1*OFFSET(E$112,MATCH($N$1,$C$112:$C$113,0)-1,0)</f>
        <v>9.1</v>
      </c>
      <c r="F38" s="31">
        <f ca="1">6.6*OFFSET(F$112,MATCH($N$1,$C$112:$C$113,0)-1,0)</f>
        <v>6.6</v>
      </c>
      <c r="G38" s="31">
        <f ca="1">23.9*OFFSET(G$112,MATCH($N$1,$C$112:$C$113,0)-1,0)</f>
        <v>23.9</v>
      </c>
      <c r="H38" s="31">
        <f ca="1">12.5*OFFSET(H$112,MATCH($N$1,$C$112:$C$113,0)-1,0)</f>
        <v>12.5</v>
      </c>
      <c r="I38" s="31">
        <f ca="1">21*OFFSET(I$112,MATCH($N$1,$C$112:$C$113,0)-1,0)</f>
        <v>21</v>
      </c>
      <c r="J38" s="31">
        <f ca="1">45.7*OFFSET(J$112,MATCH($N$1,$C$112:$C$113,0)-1,0)</f>
        <v>45.7</v>
      </c>
      <c r="K38" s="31">
        <f ca="1">53.4*OFFSET(K$112,MATCH($N$1,$C$112:$C$113,0)-1,0)</f>
        <v>53.4</v>
      </c>
      <c r="L38" s="31">
        <f ca="1">15*OFFSET(L$112,MATCH($N$1,$C$112:$C$113,0)-1,0)</f>
        <v>15</v>
      </c>
      <c r="M38" s="31">
        <f ca="1">13.6*OFFSET(M$112,MATCH($N$1,$C$112:$C$113,0)-1,0)</f>
        <v>13.6</v>
      </c>
      <c r="N38" s="31"/>
      <c r="O38" s="28" t="str">
        <f t="shared" si="0"/>
        <v/>
      </c>
      <c r="P38" s="28" t="str">
        <f t="shared" si="1"/>
        <v/>
      </c>
    </row>
    <row r="39" spans="1:16" ht="18" customHeight="1">
      <c r="A39" s="178"/>
      <c r="B39" s="35" t="s">
        <v>214</v>
      </c>
      <c r="C39" s="31"/>
      <c r="D39" s="31">
        <f ca="1">3.4*OFFSET(D$112,MATCH($N$1,$C$112:$C$113,0)-1,0)</f>
        <v>3.4</v>
      </c>
      <c r="E39" s="31">
        <f ca="1">2.6*OFFSET(E$112,MATCH($N$1,$C$112:$C$113,0)-1,0)</f>
        <v>2.6</v>
      </c>
      <c r="F39" s="31">
        <f ca="1">0.8*OFFSET(F$112,MATCH($N$1,$C$112:$C$113,0)-1,0)</f>
        <v>0.8</v>
      </c>
      <c r="G39" s="31">
        <f ca="1">5.5*OFFSET(G$112,MATCH($N$1,$C$112:$C$113,0)-1,0)</f>
        <v>5.5</v>
      </c>
      <c r="H39" s="31">
        <f ca="1">2.8*OFFSET(H$112,MATCH($N$1,$C$112:$C$113,0)-1,0)</f>
        <v>2.8</v>
      </c>
      <c r="I39" s="31">
        <f ca="1">3.3*OFFSET(I$112,MATCH($N$1,$C$112:$C$113,0)-1,0)</f>
        <v>3.3</v>
      </c>
      <c r="J39" s="31">
        <f ca="1">2*OFFSET(J$112,MATCH($N$1,$C$112:$C$113,0)-1,0)</f>
        <v>2</v>
      </c>
      <c r="K39" s="31">
        <f ca="1">2.9*OFFSET(K$112,MATCH($N$1,$C$112:$C$113,0)-1,0)</f>
        <v>2.9</v>
      </c>
      <c r="L39" s="31">
        <f ca="1">2.7*OFFSET(L$112,MATCH($N$1,$C$112:$C$113,0)-1,0)</f>
        <v>2.7</v>
      </c>
      <c r="M39" s="31">
        <f ca="1">5.6*OFFSET(M$112,MATCH($N$1,$C$112:$C$113,0)-1,0)</f>
        <v>5.6</v>
      </c>
      <c r="N39" s="31"/>
      <c r="O39" s="28" t="str">
        <f t="shared" si="0"/>
        <v/>
      </c>
      <c r="P39" s="28" t="str">
        <f t="shared" si="1"/>
        <v/>
      </c>
    </row>
    <row r="40" spans="1:16" ht="18" customHeight="1">
      <c r="A40" s="178"/>
      <c r="B40" s="35" t="s">
        <v>215</v>
      </c>
      <c r="C40" s="31"/>
      <c r="D40" s="31"/>
      <c r="E40" s="31">
        <f ca="1">4.8*OFFSET(E$112,MATCH($N$1,$C$112:$C$113,0)-1,0)</f>
        <v>4.8</v>
      </c>
      <c r="F40" s="31">
        <f ca="1">0.8*OFFSET(F$112,MATCH($N$1,$C$112:$C$113,0)-1,0)</f>
        <v>0.8</v>
      </c>
      <c r="G40" s="31">
        <f ca="1">5*OFFSET(G$112,MATCH($N$1,$C$112:$C$113,0)-1,0)</f>
        <v>5</v>
      </c>
      <c r="H40" s="31">
        <f ca="1">2.2*OFFSET(H$112,MATCH($N$1,$C$112:$C$113,0)-1,0)</f>
        <v>2.2000000000000002</v>
      </c>
      <c r="I40" s="31">
        <f ca="1">27*OFFSET(I$112,MATCH($N$1,$C$112:$C$113,0)-1,0)</f>
        <v>27</v>
      </c>
      <c r="J40" s="31">
        <f ca="1">0.3*OFFSET(J$112,MATCH($N$1,$C$112:$C$113,0)-1,0)</f>
        <v>0.3</v>
      </c>
      <c r="K40" s="31">
        <f ca="1">1*OFFSET(K$112,MATCH($N$1,$C$112:$C$113,0)-1,0)</f>
        <v>1</v>
      </c>
      <c r="L40" s="31">
        <f ca="1">0.4*OFFSET(L$112,MATCH($N$1,$C$112:$C$113,0)-1,0)</f>
        <v>0.4</v>
      </c>
      <c r="M40" s="31">
        <f ca="1">0.1*OFFSET(M$112,MATCH($N$1,$C$112:$C$113,0)-1,0)</f>
        <v>0.1</v>
      </c>
      <c r="N40" s="31"/>
      <c r="O40" s="28" t="str">
        <f t="shared" si="0"/>
        <v/>
      </c>
      <c r="P40" s="28" t="str">
        <f t="shared" si="1"/>
        <v/>
      </c>
    </row>
    <row r="41" spans="1:16" ht="18" customHeight="1" thickBot="1">
      <c r="A41" s="179"/>
      <c r="B41" s="42" t="s">
        <v>216</v>
      </c>
      <c r="C41" s="43"/>
      <c r="D41" s="43">
        <f ca="1">21.7*OFFSET(D$112,MATCH($N$1,$C$112:$C$113,0)-1,0)</f>
        <v>21.7</v>
      </c>
      <c r="E41" s="43">
        <f ca="1">44.6*OFFSET(E$112,MATCH($N$1,$C$112:$C$113,0)-1,0)</f>
        <v>44.6</v>
      </c>
      <c r="F41" s="43">
        <f ca="1">74.1*OFFSET(F$112,MATCH($N$1,$C$112:$C$113,0)-1,0)</f>
        <v>74.099999999999994</v>
      </c>
      <c r="G41" s="43">
        <f ca="1">19.4*OFFSET(G$112,MATCH($N$1,$C$112:$C$113,0)-1,0)</f>
        <v>19.399999999999999</v>
      </c>
      <c r="H41" s="43">
        <f ca="1">33.6*OFFSET(H$112,MATCH($N$1,$C$112:$C$113,0)-1,0)</f>
        <v>33.6</v>
      </c>
      <c r="I41" s="43">
        <f ca="1">38.4*OFFSET(I$112,MATCH($N$1,$C$112:$C$113,0)-1,0)</f>
        <v>38.4</v>
      </c>
      <c r="J41" s="43">
        <f ca="1">46.4*OFFSET(J$112,MATCH($N$1,$C$112:$C$113,0)-1,0)</f>
        <v>46.4</v>
      </c>
      <c r="K41" s="43">
        <f ca="1">26.5*OFFSET(K$112,MATCH($N$1,$C$112:$C$113,0)-1,0)</f>
        <v>26.5</v>
      </c>
      <c r="L41" s="43">
        <f ca="1">38.5*OFFSET(L$112,MATCH($N$1,$C$112:$C$113,0)-1,0)</f>
        <v>38.5</v>
      </c>
      <c r="M41" s="43">
        <f ca="1">108.8*OFFSET(M$112,MATCH($N$1,$C$112:$C$113,0)-1,0)</f>
        <v>108.8</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159</v>
      </c>
      <c r="F46" s="90" t="s">
        <v>163</v>
      </c>
      <c r="G46" s="90" t="s">
        <v>159</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Area VIIA nephrops over 250kW</v>
      </c>
      <c r="B48" s="202"/>
      <c r="C48" s="92"/>
      <c r="D48" s="92"/>
      <c r="E48" s="92"/>
      <c r="F48" s="92"/>
      <c r="G48" s="92"/>
      <c r="H48" s="202"/>
      <c r="I48" s="202"/>
      <c r="J48" s="202"/>
      <c r="K48" s="92" t="str">
        <f>$B24&amp;CHAR(10)&amp;$A$1</f>
        <v>Operating profit per kW day at sea (£)
Area VIIA nephrops over 250kW</v>
      </c>
      <c r="L48" s="202"/>
      <c r="M48" s="202"/>
      <c r="N48" s="202"/>
      <c r="O48" s="202"/>
      <c r="P48" s="202"/>
    </row>
    <row r="49" spans="1:11" s="80" customFormat="1">
      <c r="A49" s="92" t="str">
        <f>$B22&amp;CHAR(10)&amp;$A$1</f>
        <v>Fishing income per kW day at sea (£)
Area VIIA nephrops over 250kW</v>
      </c>
      <c r="B49" s="202"/>
      <c r="C49" s="202"/>
      <c r="D49" s="202"/>
      <c r="E49" s="202"/>
      <c r="F49" s="202"/>
      <c r="G49" s="202"/>
      <c r="H49" s="202"/>
      <c r="I49" s="202"/>
      <c r="J49" s="202"/>
      <c r="K49" s="202"/>
    </row>
    <row r="50" spans="1:11" s="80" customFormat="1">
      <c r="A50" s="92" t="str">
        <f>$B20&amp;CHAR(10)&amp;$A$1</f>
        <v>Average price per tonne landed (£)
Area VIIA nephrops over 250kW</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Area VIIA nephrops over 250kW</v>
      </c>
      <c r="C62" s="202"/>
      <c r="D62" s="202"/>
      <c r="E62" s="202"/>
      <c r="F62" s="92" t="str">
        <f>$B20&amp;CHAR(10)&amp;$A$1</f>
        <v>Average price per tonne landed (£)
Area VIIA nephrops over 250kW</v>
      </c>
      <c r="G62" s="202"/>
      <c r="H62" s="202"/>
      <c r="I62" s="202"/>
      <c r="J62" s="202"/>
      <c r="K62" s="92" t="str">
        <f>"Average annual operating profit per vessel (£'000)"&amp;CHAR(10)&amp;$A$1</f>
        <v>Average annual operating profit per vessel (£'000)
Area VIIA nephrops over 250kW</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Area VIIA nephrops over 250kW</v>
      </c>
      <c r="F76" s="92" t="str">
        <f>"Top 5 landed species by value in "&amp;A77&amp;CHAR(10)&amp;A1</f>
        <v>Top 5 landed species by value in 2019
Area VIIA nephrops over 250kW</v>
      </c>
    </row>
    <row r="77" spans="1:11" s="92" customFormat="1">
      <c r="A77" s="92">
        <v>2019</v>
      </c>
      <c r="B77" s="92" t="s">
        <v>275</v>
      </c>
      <c r="C77" s="93">
        <v>0.84058038378090616</v>
      </c>
      <c r="D77" s="94">
        <v>12153634</v>
      </c>
      <c r="G77" s="92" t="s">
        <v>276</v>
      </c>
      <c r="H77" s="93">
        <v>0.91658180104789277</v>
      </c>
      <c r="I77" s="94">
        <v>12153634</v>
      </c>
      <c r="K77" s="92" t="s">
        <v>230</v>
      </c>
    </row>
    <row r="78" spans="1:11" s="92" customFormat="1">
      <c r="B78" s="92" t="s">
        <v>277</v>
      </c>
      <c r="C78" s="93">
        <v>6.0100900238730527E-2</v>
      </c>
      <c r="D78" s="94">
        <v>11115023</v>
      </c>
      <c r="G78" s="92" t="s">
        <v>278</v>
      </c>
      <c r="H78" s="93">
        <v>2.0837254075525509E-2</v>
      </c>
      <c r="I78" s="94">
        <v>553960</v>
      </c>
    </row>
    <row r="79" spans="1:11" s="92" customFormat="1">
      <c r="B79" s="92" t="s">
        <v>279</v>
      </c>
      <c r="C79" s="93">
        <v>3.4115774925306243E-2</v>
      </c>
      <c r="D79" s="94">
        <v>3050596</v>
      </c>
      <c r="G79" s="92" t="s">
        <v>280</v>
      </c>
      <c r="H79" s="93">
        <v>1.9453892154145318E-2</v>
      </c>
      <c r="I79" s="94">
        <v>3050596</v>
      </c>
    </row>
    <row r="80" spans="1:11" s="92" customFormat="1">
      <c r="B80" s="92" t="s">
        <v>278</v>
      </c>
      <c r="C80" s="93">
        <v>2.1288239170678121E-2</v>
      </c>
      <c r="D80" s="94">
        <v>553960</v>
      </c>
      <c r="G80" s="92" t="s">
        <v>281</v>
      </c>
      <c r="H80" s="93">
        <v>8.2859887910111691E-3</v>
      </c>
      <c r="I80" s="94">
        <v>1692097</v>
      </c>
    </row>
    <row r="81" spans="1:19" s="92" customFormat="1">
      <c r="B81" s="92" t="s">
        <v>281</v>
      </c>
      <c r="C81" s="93">
        <v>8.3109833400615354E-3</v>
      </c>
      <c r="D81" s="94">
        <v>1692097</v>
      </c>
      <c r="G81" s="92" t="s">
        <v>282</v>
      </c>
      <c r="H81" s="93">
        <v>6.9334503422756478E-3</v>
      </c>
      <c r="I81" s="94">
        <v>3689192</v>
      </c>
    </row>
    <row r="82" spans="1:19" s="92" customFormat="1">
      <c r="B82" s="92" t="s">
        <v>283</v>
      </c>
      <c r="C82" s="93">
        <v>3.5603718544317431E-2</v>
      </c>
      <c r="D82" s="94">
        <v>5920853</v>
      </c>
      <c r="G82" s="92" t="s">
        <v>284</v>
      </c>
      <c r="H82" s="93">
        <v>2.7907613589149616E-2</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160</v>
      </c>
      <c r="D92" s="98">
        <v>0.86371648290654945</v>
      </c>
      <c r="E92" s="98">
        <v>0.90329188292452767</v>
      </c>
      <c r="F92" s="98">
        <v>0.85618417137340519</v>
      </c>
      <c r="G92" s="98">
        <v>0.89523202079674202</v>
      </c>
      <c r="H92" s="98">
        <v>0.90538709198932132</v>
      </c>
      <c r="I92" s="98">
        <v>0.90821284781460132</v>
      </c>
      <c r="J92" s="98">
        <v>0.89171775330334557</v>
      </c>
      <c r="K92" s="98">
        <v>0.85324076417206496</v>
      </c>
      <c r="L92" s="98">
        <v>0.91658180104789277</v>
      </c>
      <c r="M92" s="98">
        <v>0.92341426915150282</v>
      </c>
      <c r="O92" s="92">
        <v>12153634</v>
      </c>
    </row>
    <row r="93" spans="1:19" s="92" customFormat="1" hidden="1">
      <c r="B93" s="92">
        <v>2</v>
      </c>
      <c r="C93" s="92" t="s">
        <v>161</v>
      </c>
      <c r="D93" s="98">
        <v>2.3285448121050194E-2</v>
      </c>
      <c r="E93" s="98">
        <v>2.2121364132377305E-2</v>
      </c>
      <c r="F93" s="98">
        <v>2.8196673500769938E-2</v>
      </c>
      <c r="G93" s="98">
        <v>2.71442427934948E-2</v>
      </c>
      <c r="H93" s="98">
        <v>1.7377771930080096E-2</v>
      </c>
      <c r="I93" s="98">
        <v>2.8000833065877355E-2</v>
      </c>
      <c r="J93" s="98">
        <v>3.5087955132399061E-2</v>
      </c>
      <c r="K93" s="98">
        <v>3.393530712684479E-2</v>
      </c>
      <c r="L93" s="98">
        <v>2.0837254075525509E-2</v>
      </c>
      <c r="M93" s="98">
        <v>2.2129564547632034E-2</v>
      </c>
      <c r="O93" s="92">
        <v>553960</v>
      </c>
    </row>
    <row r="94" spans="1:19" s="92" customFormat="1" hidden="1">
      <c r="B94" s="92">
        <v>3</v>
      </c>
      <c r="C94" s="92" t="s">
        <v>157</v>
      </c>
      <c r="D94" s="98">
        <v>1.5061880449251906E-2</v>
      </c>
      <c r="E94" s="98">
        <v>5.5015256004481549E-3</v>
      </c>
      <c r="F94" s="98">
        <v>1.5225513977781598E-2</v>
      </c>
      <c r="G94" s="98">
        <v>1.2621824392172899E-2</v>
      </c>
      <c r="H94" s="98">
        <v>2.4752147455914617E-2</v>
      </c>
      <c r="I94" s="98">
        <v>2.9597221565859561E-2</v>
      </c>
      <c r="J94" s="98">
        <v>2.3901124404744904E-2</v>
      </c>
      <c r="K94" s="98">
        <v>3.2961328987526184E-2</v>
      </c>
      <c r="L94" s="98">
        <v>1.9453892154145318E-2</v>
      </c>
      <c r="M94" s="98">
        <v>1.0642014871307968E-2</v>
      </c>
      <c r="O94" s="92">
        <v>3050596</v>
      </c>
    </row>
    <row r="95" spans="1:19" s="92" customFormat="1" hidden="1">
      <c r="B95" s="92">
        <v>4</v>
      </c>
      <c r="C95" s="92" t="s">
        <v>162</v>
      </c>
      <c r="D95" s="98"/>
      <c r="E95" s="98"/>
      <c r="F95" s="98"/>
      <c r="G95" s="98"/>
      <c r="H95" s="98"/>
      <c r="I95" s="98"/>
      <c r="J95" s="98">
        <v>1.4121946165090427E-2</v>
      </c>
      <c r="K95" s="98">
        <v>1.8621805524161972E-2</v>
      </c>
      <c r="L95" s="98">
        <v>8.2859887910111691E-3</v>
      </c>
      <c r="M95" s="98"/>
      <c r="O95" s="92">
        <v>1692097</v>
      </c>
    </row>
    <row r="96" spans="1:19" s="92" customFormat="1" hidden="1">
      <c r="B96" s="92">
        <v>5</v>
      </c>
      <c r="C96" s="92" t="s">
        <v>241</v>
      </c>
      <c r="D96" s="98">
        <v>1.5289255079495733E-2</v>
      </c>
      <c r="E96" s="98">
        <v>1.9648756717777726E-2</v>
      </c>
      <c r="F96" s="98">
        <v>2.5935553367110113E-2</v>
      </c>
      <c r="G96" s="98">
        <v>1.7462817663215741E-2</v>
      </c>
      <c r="H96" s="98"/>
      <c r="I96" s="98"/>
      <c r="J96" s="98"/>
      <c r="K96" s="98"/>
      <c r="L96" s="98">
        <v>6.9334503422756478E-3</v>
      </c>
      <c r="M96" s="98">
        <v>7.8608883689370926E-3</v>
      </c>
      <c r="O96" s="92">
        <v>3689192</v>
      </c>
    </row>
    <row r="97" spans="1:15" s="92" customFormat="1" hidden="1">
      <c r="B97" s="92">
        <v>6</v>
      </c>
      <c r="C97" s="92" t="s">
        <v>274</v>
      </c>
      <c r="D97" s="98"/>
      <c r="E97" s="98"/>
      <c r="F97" s="98"/>
      <c r="G97" s="98"/>
      <c r="H97" s="98"/>
      <c r="I97" s="98"/>
      <c r="J97" s="98"/>
      <c r="K97" s="98"/>
      <c r="L97" s="98"/>
      <c r="M97" s="98">
        <v>1.3111466135333497E-2</v>
      </c>
      <c r="O97" s="92">
        <v>11115023</v>
      </c>
    </row>
    <row r="98" spans="1:15" s="92" customFormat="1" hidden="1">
      <c r="B98" s="92">
        <v>7</v>
      </c>
      <c r="C98" s="92" t="s">
        <v>169</v>
      </c>
      <c r="D98" s="98"/>
      <c r="E98" s="98"/>
      <c r="F98" s="98"/>
      <c r="G98" s="98"/>
      <c r="H98" s="98"/>
      <c r="I98" s="98"/>
      <c r="J98" s="98"/>
      <c r="K98" s="98">
        <v>9.5386663454149808E-3</v>
      </c>
      <c r="L98" s="98"/>
      <c r="M98" s="98"/>
      <c r="O98" s="92">
        <v>2480382</v>
      </c>
    </row>
    <row r="99" spans="1:15" s="92" customFormat="1" hidden="1">
      <c r="B99" s="92">
        <v>8</v>
      </c>
      <c r="C99" s="92" t="s">
        <v>285</v>
      </c>
      <c r="D99" s="98"/>
      <c r="E99" s="98"/>
      <c r="F99" s="98"/>
      <c r="G99" s="98"/>
      <c r="H99" s="98"/>
      <c r="I99" s="98"/>
      <c r="J99" s="98">
        <v>6.2232000072146984E-3</v>
      </c>
      <c r="K99" s="98"/>
      <c r="L99" s="98"/>
      <c r="M99" s="98"/>
      <c r="O99" s="92">
        <v>7434864</v>
      </c>
    </row>
    <row r="100" spans="1:15" s="92" customFormat="1" hidden="1">
      <c r="B100" s="92">
        <v>9</v>
      </c>
      <c r="C100" s="92" t="s">
        <v>244</v>
      </c>
      <c r="D100" s="98"/>
      <c r="E100" s="98"/>
      <c r="F100" s="98"/>
      <c r="G100" s="98">
        <v>7.5468996857039417E-3</v>
      </c>
      <c r="H100" s="98">
        <v>6.775669790932505E-3</v>
      </c>
      <c r="I100" s="98">
        <v>3.9677060858814752E-3</v>
      </c>
      <c r="J100" s="98"/>
      <c r="K100" s="98"/>
      <c r="L100" s="98"/>
      <c r="M100" s="98"/>
      <c r="O100" s="92">
        <v>8497745</v>
      </c>
    </row>
    <row r="101" spans="1:15" s="92" customFormat="1" hidden="1">
      <c r="B101" s="92">
        <v>10</v>
      </c>
      <c r="C101" s="92" t="s">
        <v>286</v>
      </c>
      <c r="D101" s="98"/>
      <c r="E101" s="98"/>
      <c r="F101" s="98"/>
      <c r="G101" s="98"/>
      <c r="H101" s="98"/>
      <c r="I101" s="98">
        <v>3.9395607001544222E-3</v>
      </c>
      <c r="J101" s="98"/>
      <c r="K101" s="98"/>
      <c r="L101" s="98"/>
      <c r="M101" s="98"/>
      <c r="O101" s="92">
        <v>14393110</v>
      </c>
    </row>
    <row r="102" spans="1:15" s="92" customFormat="1" hidden="1">
      <c r="B102" s="92">
        <v>11</v>
      </c>
      <c r="C102" s="92" t="s">
        <v>165</v>
      </c>
      <c r="D102" s="98"/>
      <c r="E102" s="98"/>
      <c r="F102" s="98"/>
      <c r="G102" s="98"/>
      <c r="H102" s="98">
        <v>1.3695671589830297E-2</v>
      </c>
      <c r="I102" s="98"/>
      <c r="J102" s="98"/>
      <c r="K102" s="98"/>
      <c r="L102" s="98"/>
      <c r="M102" s="98"/>
      <c r="O102" s="92">
        <v>2887140</v>
      </c>
    </row>
    <row r="103" spans="1:15" s="92" customFormat="1" hidden="1">
      <c r="B103" s="92">
        <v>12</v>
      </c>
      <c r="C103" s="92" t="s">
        <v>243</v>
      </c>
      <c r="D103" s="98">
        <v>2.5898591311463277E-2</v>
      </c>
      <c r="E103" s="98">
        <v>1.1484122854679151E-2</v>
      </c>
      <c r="F103" s="98">
        <v>1.2099713190350038E-2</v>
      </c>
      <c r="G103" s="98"/>
      <c r="H103" s="98"/>
      <c r="I103" s="98"/>
      <c r="J103" s="98"/>
      <c r="K103" s="98"/>
      <c r="L103" s="98"/>
      <c r="M103" s="98"/>
      <c r="O103" s="92">
        <v>15057844</v>
      </c>
    </row>
    <row r="104" spans="1:15" s="92" customFormat="1" hidden="1">
      <c r="B104" s="92">
        <v>13</v>
      </c>
      <c r="C104" s="92" t="s">
        <v>245</v>
      </c>
      <c r="D104" s="98">
        <v>5.6748342132189475E-2</v>
      </c>
      <c r="E104" s="98">
        <v>3.7952347770190027E-2</v>
      </c>
      <c r="F104" s="98">
        <v>6.2358374590583139E-2</v>
      </c>
      <c r="G104" s="98">
        <v>3.9992194668670641E-2</v>
      </c>
      <c r="H104" s="98">
        <v>3.2011647243921131E-2</v>
      </c>
      <c r="I104" s="98">
        <v>2.6281830767625858E-2</v>
      </c>
      <c r="J104" s="98">
        <v>2.8948020987205329E-2</v>
      </c>
      <c r="K104" s="98">
        <v>5.1702127843987131E-2</v>
      </c>
      <c r="L104" s="98">
        <v>2.7907613589149546E-2</v>
      </c>
      <c r="M104" s="98">
        <v>2.2841796925286571E-2</v>
      </c>
      <c r="O104" s="92">
        <v>5920853</v>
      </c>
    </row>
    <row r="105" spans="1:15" s="92" customFormat="1" hidden="1">
      <c r="B105" s="92">
        <v>14</v>
      </c>
      <c r="D105" s="98"/>
      <c r="E105" s="98"/>
      <c r="F105" s="98"/>
      <c r="G105" s="98"/>
      <c r="H105" s="98"/>
      <c r="I105" s="98"/>
      <c r="J105" s="98"/>
      <c r="K105" s="98"/>
      <c r="L105" s="98"/>
      <c r="M105" s="98"/>
      <c r="O105" s="92">
        <v>10931653</v>
      </c>
    </row>
    <row r="106" spans="1:15" s="92" customFormat="1" hidden="1">
      <c r="B106" s="92">
        <v>15</v>
      </c>
      <c r="D106" s="98"/>
      <c r="E106" s="98"/>
      <c r="F106" s="98"/>
      <c r="G106" s="98"/>
      <c r="H106" s="98"/>
      <c r="I106" s="98"/>
      <c r="J106" s="98"/>
      <c r="K106" s="98"/>
      <c r="L106" s="98"/>
      <c r="M106" s="98"/>
      <c r="O106" s="92">
        <v>10479842</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14</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7</v>
      </c>
      <c r="D120" s="54">
        <v>15</v>
      </c>
      <c r="E120" s="54">
        <v>7</v>
      </c>
      <c r="F120" s="55">
        <v>29</v>
      </c>
    </row>
    <row r="121" spans="1:15" ht="18" customHeight="1">
      <c r="A121" s="173" t="s">
        <v>191</v>
      </c>
      <c r="B121" s="33" t="s">
        <v>192</v>
      </c>
      <c r="C121" s="56">
        <v>19.081428527832031</v>
      </c>
      <c r="D121" s="56">
        <v>20.370000076293945</v>
      </c>
      <c r="E121" s="56">
        <v>19.649999618530273</v>
      </c>
      <c r="F121" s="57">
        <v>19.885171890258789</v>
      </c>
      <c r="G121" s="206"/>
      <c r="H121" s="206"/>
      <c r="I121" s="206"/>
      <c r="J121" s="206"/>
      <c r="K121" s="206"/>
      <c r="L121" s="206"/>
      <c r="M121" s="206"/>
      <c r="N121" s="206"/>
      <c r="O121" s="206"/>
    </row>
    <row r="122" spans="1:15" ht="18" customHeight="1">
      <c r="A122" s="174"/>
      <c r="B122" s="35" t="s">
        <v>184</v>
      </c>
      <c r="C122" s="58">
        <v>353.28570556640625</v>
      </c>
      <c r="D122" s="58">
        <v>403.80000406901041</v>
      </c>
      <c r="E122" s="58">
        <v>355.85714721679688</v>
      </c>
      <c r="F122" s="59">
        <v>380.03448486328125</v>
      </c>
      <c r="G122" s="206"/>
      <c r="H122" s="206"/>
      <c r="I122" s="206"/>
      <c r="J122" s="206"/>
      <c r="K122" s="206"/>
      <c r="L122" s="206"/>
      <c r="M122" s="206"/>
      <c r="N122" s="206"/>
      <c r="O122" s="206"/>
    </row>
    <row r="123" spans="1:15" ht="18" customHeight="1">
      <c r="A123" s="174"/>
      <c r="B123" s="35" t="s">
        <v>185</v>
      </c>
      <c r="C123" s="58">
        <v>108.28571319580078</v>
      </c>
      <c r="D123" s="58">
        <v>122.53333028157552</v>
      </c>
      <c r="E123" s="58">
        <v>107.42857360839844</v>
      </c>
      <c r="F123" s="59">
        <v>115.44827270507813</v>
      </c>
      <c r="G123" s="206"/>
      <c r="H123" s="206"/>
      <c r="I123" s="206"/>
      <c r="J123" s="206"/>
      <c r="K123" s="206"/>
      <c r="L123" s="206"/>
      <c r="M123" s="206"/>
      <c r="N123" s="206"/>
      <c r="O123" s="206"/>
    </row>
    <row r="124" spans="1:15" ht="18" customHeight="1">
      <c r="A124" s="174"/>
      <c r="B124" s="35" t="s">
        <v>186</v>
      </c>
      <c r="C124" s="58">
        <v>275.59304809570313</v>
      </c>
      <c r="D124" s="58">
        <v>316.16325887044269</v>
      </c>
      <c r="E124" s="58">
        <v>286.25238037109375</v>
      </c>
      <c r="F124" s="59">
        <v>299.15057373046875</v>
      </c>
      <c r="G124" s="206"/>
      <c r="H124" s="206"/>
      <c r="I124" s="206"/>
      <c r="J124" s="206"/>
      <c r="K124" s="206"/>
      <c r="L124" s="206"/>
      <c r="M124" s="206"/>
      <c r="N124" s="206"/>
      <c r="O124" s="206"/>
    </row>
    <row r="125" spans="1:15" ht="18" customHeight="1">
      <c r="A125" s="174"/>
      <c r="B125" s="35" t="s">
        <v>187</v>
      </c>
      <c r="C125" s="31">
        <v>204.676025390625</v>
      </c>
      <c r="D125" s="31">
        <v>156.81418558756511</v>
      </c>
      <c r="E125" s="31">
        <v>109.85268402099609</v>
      </c>
      <c r="F125" s="60">
        <v>157.03150939941406</v>
      </c>
      <c r="G125" s="206"/>
      <c r="H125" s="206"/>
      <c r="I125" s="206"/>
      <c r="J125" s="206"/>
      <c r="K125" s="206"/>
      <c r="L125" s="206"/>
      <c r="M125" s="206"/>
      <c r="N125" s="206"/>
      <c r="O125" s="206"/>
    </row>
    <row r="126" spans="1:15" ht="18" customHeight="1">
      <c r="A126" s="174"/>
      <c r="B126" s="35" t="s">
        <v>193</v>
      </c>
      <c r="C126" s="31">
        <f ca="1">517.64978125*OFFSET($L$112,MATCH($N$1,$C$112:$C$113,0)-1,0)</f>
        <v>517.64978125000005</v>
      </c>
      <c r="D126" s="31">
        <f ca="1">382.113633333333*OFFSET($L$112,MATCH($N$1,$C$112:$C$113,0)-1,0)</f>
        <v>382.11363333333298</v>
      </c>
      <c r="E126" s="31">
        <f ca="1">271.6375*OFFSET($L$112,MATCH($N$1,$C$112:$C$113,0)-1,0)</f>
        <v>271.63749999999999</v>
      </c>
      <c r="F126" s="60">
        <f ca="1">388.162625*OFFSET($L$112,MATCH($N$1,$C$112:$C$113,0)-1,0)</f>
        <v>388.16262499999999</v>
      </c>
      <c r="G126" s="206"/>
      <c r="H126" s="206"/>
      <c r="I126" s="206"/>
      <c r="J126" s="206"/>
      <c r="K126" s="206"/>
      <c r="L126" s="206"/>
      <c r="M126" s="206"/>
      <c r="N126" s="206"/>
      <c r="O126" s="206"/>
    </row>
    <row r="127" spans="1:15" ht="18" customHeight="1">
      <c r="A127" s="174"/>
      <c r="B127" s="35" t="s">
        <v>189</v>
      </c>
      <c r="C127" s="58">
        <v>174.42857360839844</v>
      </c>
      <c r="D127" s="58">
        <v>151.73333028157552</v>
      </c>
      <c r="E127" s="58">
        <v>141.14285278320313</v>
      </c>
      <c r="F127" s="59">
        <v>154.65516662597656</v>
      </c>
      <c r="G127" s="206"/>
      <c r="H127" s="206"/>
      <c r="I127" s="206"/>
      <c r="J127" s="206"/>
      <c r="K127" s="206"/>
      <c r="L127" s="206"/>
      <c r="M127" s="206"/>
      <c r="N127" s="206"/>
      <c r="O127" s="206"/>
    </row>
    <row r="128" spans="1:15" ht="18" customHeight="1">
      <c r="A128" s="174"/>
      <c r="B128" s="35" t="s">
        <v>194</v>
      </c>
      <c r="C128" s="58">
        <v>36.142856597900391</v>
      </c>
      <c r="D128" s="58">
        <v>37.733332570393877</v>
      </c>
      <c r="E128" s="58">
        <v>41.428569793701172</v>
      </c>
      <c r="F128" s="59">
        <v>38.241378784179688</v>
      </c>
      <c r="G128" s="206"/>
      <c r="H128" s="206"/>
      <c r="I128" s="206"/>
      <c r="J128" s="206"/>
      <c r="K128" s="206"/>
      <c r="L128" s="206"/>
      <c r="M128" s="206"/>
      <c r="N128" s="206"/>
      <c r="O128" s="206"/>
    </row>
    <row r="129" spans="1:15" ht="18" customHeight="1">
      <c r="A129" s="174"/>
      <c r="B129" s="35" t="s">
        <v>195</v>
      </c>
      <c r="C129" s="61">
        <v>1.1734088659286499</v>
      </c>
      <c r="D129" s="61">
        <v>1.0334854266795628</v>
      </c>
      <c r="E129" s="61">
        <v>0.77830851078033447</v>
      </c>
      <c r="F129" s="62">
        <v>1.0153654813766479</v>
      </c>
      <c r="G129" s="206"/>
      <c r="H129" s="206"/>
      <c r="I129" s="206"/>
      <c r="J129" s="206"/>
      <c r="K129" s="206"/>
      <c r="L129" s="206"/>
      <c r="M129" s="206"/>
      <c r="N129" s="206"/>
      <c r="O129" s="206"/>
    </row>
    <row r="130" spans="1:15" ht="18" customHeight="1">
      <c r="A130" s="175"/>
      <c r="B130" s="37" t="s">
        <v>196</v>
      </c>
      <c r="C130" s="38">
        <f ca="1">2529.11781075514*OFFSET($L$112,MATCH($N$1,$C$112:$C$113,0)-1,0)</f>
        <v>2529.11781075514</v>
      </c>
      <c r="D130" s="38">
        <f ca="1">2436.72874301261*OFFSET($L$112,MATCH($N$1,$C$112:$C$113,0)-1,0)</f>
        <v>2436.7287430126098</v>
      </c>
      <c r="E130" s="38">
        <f ca="1">2472.74340559655*OFFSET($L$112,MATCH($N$1,$C$112:$C$113,0)-1,0)</f>
        <v>2472.74340559655</v>
      </c>
      <c r="F130" s="63">
        <f ca="1">2472*OFFSET($L$112,MATCH($N$1,$C$112:$C$113,0)-1,0)</f>
        <v>2472</v>
      </c>
      <c r="G130" s="206"/>
      <c r="H130" s="206"/>
      <c r="I130" s="206"/>
      <c r="J130" s="206"/>
      <c r="K130" s="206"/>
      <c r="L130" s="206"/>
      <c r="M130" s="206"/>
      <c r="N130" s="206"/>
      <c r="O130" s="206"/>
    </row>
    <row r="131" spans="1:15" ht="18" customHeight="1">
      <c r="A131" s="184" t="s">
        <v>197</v>
      </c>
      <c r="B131" s="33" t="s">
        <v>198</v>
      </c>
      <c r="C131" s="64">
        <v>3.2287794597197346</v>
      </c>
      <c r="D131" s="64">
        <v>2.4978154208090975</v>
      </c>
      <c r="E131" s="64">
        <v>2.1913749377102461</v>
      </c>
      <c r="F131" s="65">
        <v>2.622688883604738</v>
      </c>
      <c r="G131" s="206"/>
      <c r="H131" s="206"/>
      <c r="I131" s="206"/>
      <c r="J131" s="206"/>
      <c r="K131" s="206"/>
      <c r="L131" s="206"/>
      <c r="M131" s="206"/>
      <c r="N131" s="206"/>
      <c r="O131" s="206"/>
    </row>
    <row r="132" spans="1:15" ht="18" customHeight="1">
      <c r="A132" s="185"/>
      <c r="B132" s="35" t="s">
        <v>199</v>
      </c>
      <c r="C132" s="61">
        <f ca="1">8.16596363857752*OFFSET($L$112,MATCH($N$1,$C$112:$C$113,0)-1,0)</f>
        <v>8.1659636385775194</v>
      </c>
      <c r="D132" s="61">
        <f ca="1">6.08649863062566*OFFSET($L$112,MATCH($N$1,$C$112:$C$113,0)-1,0)</f>
        <v>6.0864986306256599</v>
      </c>
      <c r="E132" s="61">
        <f ca="1">5.41870792641257*OFFSET($L$112,MATCH($N$1,$C$112:$C$113,0)-1,0)</f>
        <v>5.4187079264125702</v>
      </c>
      <c r="F132" s="62">
        <f ca="1">6.48296514191268*OFFSET($L$112,MATCH($N$1,$C$112:$C$113,0)-1,0)</f>
        <v>6.4829651419126799</v>
      </c>
      <c r="G132" s="206"/>
      <c r="H132" s="206"/>
      <c r="I132" s="206"/>
      <c r="J132" s="206"/>
      <c r="K132" s="206"/>
      <c r="L132" s="206"/>
      <c r="M132" s="206"/>
      <c r="N132" s="206"/>
      <c r="O132" s="206"/>
    </row>
    <row r="133" spans="1:15" ht="18" customHeight="1">
      <c r="A133" s="185"/>
      <c r="B133" s="35" t="s">
        <v>154</v>
      </c>
      <c r="C133" s="61">
        <f ca="1">5.17895780124553*OFFSET($L$112,MATCH($N$1,$C$112:$C$113,0)-1,0)</f>
        <v>5.17895780124553</v>
      </c>
      <c r="D133" s="61">
        <f ca="1">4.10748524798586*OFFSET($L$112,MATCH($N$1,$C$112:$C$113,0)-1,0)</f>
        <v>4.1074852479858599</v>
      </c>
      <c r="E133" s="61">
        <f ca="1">3.92325590637387*OFFSET($L$112,MATCH($N$1,$C$112:$C$113,0)-1,0)</f>
        <v>3.9232559063738699</v>
      </c>
      <c r="F133" s="62">
        <f ca="1">4.34407677132657*OFFSET($L$112,MATCH($N$1,$C$112:$C$113,0)-1,0)</f>
        <v>4.34407677132657</v>
      </c>
      <c r="G133" s="206"/>
      <c r="H133" s="206"/>
      <c r="I133" s="206"/>
      <c r="J133" s="206"/>
      <c r="K133" s="206"/>
      <c r="L133" s="206"/>
      <c r="M133" s="206"/>
      <c r="N133" s="206"/>
      <c r="O133" s="206"/>
    </row>
    <row r="134" spans="1:15" ht="18" customHeight="1">
      <c r="A134" s="186"/>
      <c r="B134" s="37" t="s">
        <v>155</v>
      </c>
      <c r="C134" s="66">
        <f ca="1">2.987005837332*OFFSET($L$112,MATCH($N$1,$C$112:$C$113,0)-1,0)</f>
        <v>2.9870058373320001</v>
      </c>
      <c r="D134" s="66">
        <f ca="1">1.9790133826398*OFFSET($L$112,MATCH($N$1,$C$112:$C$113,0)-1,0)</f>
        <v>1.9790133826398</v>
      </c>
      <c r="E134" s="66">
        <f ca="1">1.4954520200387*OFFSET($L$112,MATCH($N$1,$C$112:$C$113,0)-1,0)</f>
        <v>1.4954520200387</v>
      </c>
      <c r="F134" s="67">
        <f ca="1">2.13888837058611*OFFSET($L$112,MATCH($N$1,$C$112:$C$113,0)-1,0)</f>
        <v>2.1388883705861099</v>
      </c>
      <c r="G134" s="206"/>
      <c r="H134" s="206"/>
      <c r="I134" s="206"/>
      <c r="J134" s="206"/>
      <c r="K134" s="206"/>
      <c r="L134" s="206"/>
      <c r="M134" s="206"/>
      <c r="N134" s="206"/>
      <c r="O134" s="206"/>
    </row>
    <row r="135" spans="1:15" ht="18" customHeight="1">
      <c r="A135" s="187" t="s">
        <v>254</v>
      </c>
      <c r="B135" s="35" t="s">
        <v>255</v>
      </c>
      <c r="C135" s="68">
        <f ca="1">69.0030625*OFFSET($L$112,MATCH($N$1,$C$112:$C$113,0)-1,0)</f>
        <v>69.003062499999999</v>
      </c>
      <c r="D135" s="68">
        <f ca="1">66.4648348958333*OFFSET($L$112,MATCH($N$1,$C$112:$C$113,0)-1,0)</f>
        <v>66.464834895833306</v>
      </c>
      <c r="E135" s="68">
        <f ca="1">60.604640625*OFFSET($L$112,MATCH($N$1,$C$112:$C$113,0)-1,0)</f>
        <v>60.604640625000002</v>
      </c>
      <c r="F135" s="69">
        <f ca="1">65.662984375*OFFSET($L$112,MATCH($N$1,$C$112:$C$113,0)-1,0)</f>
        <v>65.662984374999994</v>
      </c>
      <c r="G135" s="206"/>
      <c r="H135" s="206"/>
      <c r="I135" s="206"/>
      <c r="J135" s="206"/>
      <c r="K135" s="206"/>
      <c r="L135" s="206"/>
      <c r="M135" s="206"/>
      <c r="N135" s="206"/>
      <c r="O135" s="206"/>
    </row>
    <row r="136" spans="1:15" ht="18" customHeight="1">
      <c r="A136" s="188"/>
      <c r="B136" s="35" t="s">
        <v>256</v>
      </c>
      <c r="C136" s="30">
        <v>131378.57108240202</v>
      </c>
      <c r="D136" s="30">
        <v>126366.66510858219</v>
      </c>
      <c r="E136" s="30">
        <v>115828.56683939137</v>
      </c>
      <c r="F136" s="70">
        <v>125032.75862068965</v>
      </c>
      <c r="G136" s="206"/>
      <c r="H136" s="206"/>
      <c r="I136" s="206"/>
      <c r="J136" s="206"/>
      <c r="K136" s="206"/>
      <c r="L136" s="206"/>
      <c r="M136" s="206"/>
      <c r="N136" s="206"/>
      <c r="O136" s="206"/>
    </row>
    <row r="137" spans="1:15" ht="18" customHeight="1">
      <c r="A137" s="188"/>
      <c r="B137" s="35" t="s">
        <v>257</v>
      </c>
      <c r="C137" s="30">
        <v>753.194091796875</v>
      </c>
      <c r="D137" s="30">
        <v>832.82074461873515</v>
      </c>
      <c r="E137" s="30">
        <v>820.64776611328125</v>
      </c>
      <c r="F137" s="70">
        <v>808.4615478515625</v>
      </c>
      <c r="G137" s="206"/>
      <c r="H137" s="206"/>
      <c r="I137" s="206"/>
      <c r="J137" s="206"/>
      <c r="K137" s="206"/>
      <c r="L137" s="206"/>
      <c r="M137" s="206"/>
      <c r="N137" s="206"/>
      <c r="O137" s="206"/>
    </row>
    <row r="138" spans="1:15" ht="18" customHeight="1">
      <c r="A138" s="188"/>
      <c r="B138" s="35" t="s">
        <v>258</v>
      </c>
      <c r="C138" s="30">
        <f ca="1">395.594947963718*OFFSET($L$112,MATCH($N$1,$C$112:$C$113,0)-1,0)</f>
        <v>395.59494796371803</v>
      </c>
      <c r="D138" s="30">
        <f ca="1">438.03714564554*OFFSET($L$112,MATCH($N$1,$C$112:$C$113,0)-1,0)</f>
        <v>438.03714564554002</v>
      </c>
      <c r="E138" s="30">
        <f ca="1">429.385118905662*OFFSET($L$112,MATCH($N$1,$C$112:$C$113,0)-1,0)</f>
        <v>429.38511890566201</v>
      </c>
      <c r="F138" s="70">
        <f ca="1">424.576726452351*OFFSET($L$112,MATCH($N$1,$C$112:$C$113,0)-1,0)</f>
        <v>424.57672645235101</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337.13309787166*OFFSET($L$112,MATCH($N$1,$C$112:$C$113,0)-1,0)</f>
        <v>337.13309787166003</v>
      </c>
      <c r="D139" s="30">
        <f ca="1">423.8445306896*OFFSET($L$112,MATCH($N$1,$C$112:$C$113,0)-1,0)</f>
        <v>423.84453068959999</v>
      </c>
      <c r="E139" s="30">
        <f ca="1">551.69012177633*OFFSET($L$112,MATCH($N$1,$C$112:$C$113,0)-1,0)</f>
        <v>551.69012177632999</v>
      </c>
      <c r="F139" s="70">
        <f ca="1">418.151647565103*OFFSET($L$112,MATCH($N$1,$C$112:$C$113,0)-1,0)</f>
        <v>418.15164756510302</v>
      </c>
      <c r="G139" s="206"/>
      <c r="H139" s="206"/>
      <c r="I139" s="46"/>
      <c r="J139" s="206"/>
      <c r="K139" s="71" t="s">
        <v>260</v>
      </c>
      <c r="L139" s="72">
        <f t="shared" ref="L139:M141" ca="1" si="2">C140</f>
        <v>635.79393749999997</v>
      </c>
      <c r="M139" s="72">
        <f t="shared" ca="1" si="2"/>
        <v>469.324158333333</v>
      </c>
      <c r="N139" s="72">
        <f ca="1">E140</f>
        <v>333.63381249999998</v>
      </c>
      <c r="O139" s="72"/>
    </row>
    <row r="140" spans="1:15" ht="18" customHeight="1">
      <c r="A140" s="166" t="s">
        <v>261</v>
      </c>
      <c r="B140" s="33" t="s">
        <v>262</v>
      </c>
      <c r="C140" s="73">
        <f ca="1">635.7939375*OFFSET($L$112,MATCH($N$1,$C$112:$C$113,0)-1,0)</f>
        <v>635.79393749999997</v>
      </c>
      <c r="D140" s="73">
        <f ca="1">469.324158333333*OFFSET($L$112,MATCH($N$1,$C$112:$C$113,0)-1,0)</f>
        <v>469.324158333333</v>
      </c>
      <c r="E140" s="73">
        <f ca="1">333.6338125*OFFSET($L$112,MATCH($N$1,$C$112:$C$113,0)-1,0)</f>
        <v>333.63381249999998</v>
      </c>
      <c r="F140" s="74">
        <f ca="1">476.75365625*OFFSET($L$112,MATCH($N$1,$C$112:$C$113,0)-1,0)</f>
        <v>476.75365625000001</v>
      </c>
      <c r="G140" s="206"/>
      <c r="H140" s="206"/>
      <c r="I140" s="46"/>
      <c r="J140" s="206"/>
      <c r="K140" s="71" t="s">
        <v>263</v>
      </c>
      <c r="L140" s="72">
        <f t="shared" ca="1" si="2"/>
        <v>446.44421875</v>
      </c>
      <c r="M140" s="72">
        <f t="shared" ca="1" si="2"/>
        <v>345.08064166666702</v>
      </c>
      <c r="N140" s="72">
        <f ca="1">E141</f>
        <v>258.66743750000001</v>
      </c>
      <c r="O140" s="72"/>
    </row>
    <row r="141" spans="1:15" ht="18" customHeight="1">
      <c r="A141" s="167"/>
      <c r="B141" s="35" t="s">
        <v>264</v>
      </c>
      <c r="C141" s="30">
        <f ca="1">446.44421875*OFFSET($L$112,MATCH($N$1,$C$112:$C$113,0)-1,0)</f>
        <v>446.44421875</v>
      </c>
      <c r="D141" s="30">
        <f ca="1">345.080641666667*OFFSET($L$112,MATCH($N$1,$C$112:$C$113,0)-1,0)</f>
        <v>345.08064166666702</v>
      </c>
      <c r="E141" s="30">
        <f ca="1">258.6674375*OFFSET($L$112,MATCH($N$1,$C$112:$C$113,0)-1,0)</f>
        <v>258.66743750000001</v>
      </c>
      <c r="F141" s="70">
        <f ca="1">348.68934375*OFFSET($L$112,MATCH($N$1,$C$112:$C$113,0)-1,0)</f>
        <v>348.68934374999998</v>
      </c>
      <c r="G141" s="206"/>
      <c r="H141" s="206"/>
      <c r="I141" s="46"/>
      <c r="J141" s="206"/>
      <c r="K141" s="71" t="s">
        <v>265</v>
      </c>
      <c r="L141" s="72">
        <f t="shared" ca="1" si="2"/>
        <v>189.34971874999999</v>
      </c>
      <c r="M141" s="72">
        <f t="shared" ca="1" si="2"/>
        <v>124.24351666666701</v>
      </c>
      <c r="N141" s="72">
        <f ca="1">E142</f>
        <v>74.966374999999999</v>
      </c>
      <c r="O141" s="72"/>
    </row>
    <row r="142" spans="1:15" ht="18" customHeight="1">
      <c r="A142" s="168"/>
      <c r="B142" s="37" t="s">
        <v>266</v>
      </c>
      <c r="C142" s="38">
        <f ca="1">189.34971875*OFFSET($L$112,MATCH($N$1,$C$112:$C$113,0)-1,0)</f>
        <v>189.34971874999999</v>
      </c>
      <c r="D142" s="38">
        <f ca="1">124.243516666667*OFFSET($L$112,MATCH($N$1,$C$112:$C$113,0)-1,0)</f>
        <v>124.24351666666701</v>
      </c>
      <c r="E142" s="38">
        <f ca="1">74.966375*OFFSET($L$112,MATCH($N$1,$C$112:$C$113,0)-1,0)</f>
        <v>74.966374999999999</v>
      </c>
      <c r="F142" s="63">
        <f ca="1">128.0643203125*OFFSET($L$112,MATCH($N$1,$C$112:$C$113,0)-1,0)</f>
        <v>128.0643203125</v>
      </c>
      <c r="G142" s="206"/>
      <c r="H142" s="206"/>
      <c r="I142" s="46"/>
      <c r="J142" s="206"/>
      <c r="K142" s="71" t="s">
        <v>267</v>
      </c>
      <c r="L142" s="75">
        <f ca="1">IFERROR(L140/L$139,"")</f>
        <v>0.70218382469241458</v>
      </c>
      <c r="M142" s="75">
        <f t="shared" ref="M142:N143" ca="1" si="3">IFERROR(M140/M$139,"")</f>
        <v>0.73527142283090574</v>
      </c>
      <c r="N142" s="75">
        <f t="shared" ca="1" si="3"/>
        <v>0.7753034249188997</v>
      </c>
      <c r="O142" s="75"/>
    </row>
    <row r="143" spans="1:15" ht="18" customHeight="1">
      <c r="A143" s="206"/>
      <c r="B143" s="206"/>
      <c r="C143" s="206"/>
      <c r="D143" s="206"/>
      <c r="E143" s="206"/>
      <c r="F143" s="206"/>
      <c r="G143" s="206"/>
      <c r="H143" s="206"/>
      <c r="I143" s="46"/>
      <c r="J143" s="206"/>
      <c r="K143" s="71" t="s">
        <v>268</v>
      </c>
      <c r="L143" s="75">
        <f ca="1">IFERROR(L141/L$139,"")</f>
        <v>0.29781617530758542</v>
      </c>
      <c r="M143" s="75">
        <f t="shared" ca="1" si="3"/>
        <v>0.26472857716909648</v>
      </c>
      <c r="N143" s="75">
        <f t="shared" ca="1" si="3"/>
        <v>0.22469657508110036</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9</v>
      </c>
      <c r="B161" s="51"/>
      <c r="C161" s="76" t="s">
        <v>249</v>
      </c>
      <c r="D161" s="76" t="s">
        <v>270</v>
      </c>
      <c r="E161" s="76" t="s">
        <v>251</v>
      </c>
      <c r="F161" s="76" t="s">
        <v>271</v>
      </c>
      <c r="G161" s="77">
        <v>10</v>
      </c>
      <c r="H161" s="76"/>
      <c r="I161" s="76" t="s">
        <v>249</v>
      </c>
      <c r="J161" s="76" t="s">
        <v>270</v>
      </c>
      <c r="K161" s="76" t="s">
        <v>251</v>
      </c>
      <c r="L161" s="51" t="s">
        <v>271</v>
      </c>
      <c r="R161" s="206"/>
      <c r="S161" s="206"/>
    </row>
    <row r="162" spans="1:19" s="46" customFormat="1">
      <c r="A162" s="47">
        <v>1</v>
      </c>
      <c r="B162" s="51" t="s">
        <v>160</v>
      </c>
      <c r="C162" s="51">
        <v>0.86967320789350411</v>
      </c>
      <c r="D162" s="51">
        <v>0.82503475563364581</v>
      </c>
      <c r="E162" s="51">
        <v>0.85672737490162743</v>
      </c>
      <c r="F162" s="47">
        <v>12153634</v>
      </c>
      <c r="G162" s="47">
        <v>1</v>
      </c>
      <c r="H162" s="51" t="s">
        <v>160</v>
      </c>
      <c r="I162" s="51">
        <v>0.91765253568258354</v>
      </c>
      <c r="J162" s="51">
        <v>0.92184723651372924</v>
      </c>
      <c r="K162" s="51">
        <v>0.91807910627245726</v>
      </c>
      <c r="L162" s="47">
        <v>12153634</v>
      </c>
      <c r="R162" s="206"/>
      <c r="S162" s="206"/>
    </row>
    <row r="163" spans="1:19" s="46" customFormat="1">
      <c r="A163" s="47">
        <v>2</v>
      </c>
      <c r="B163" s="51" t="s">
        <v>274</v>
      </c>
      <c r="C163" s="51">
        <v>3.6881005184314621E-2</v>
      </c>
      <c r="D163" s="51">
        <v>8.1868159625016437E-2</v>
      </c>
      <c r="E163" s="51">
        <v>3.9042026175539944E-2</v>
      </c>
      <c r="F163" s="47">
        <v>11115023</v>
      </c>
      <c r="G163" s="47">
        <v>2</v>
      </c>
      <c r="H163" s="51" t="s">
        <v>157</v>
      </c>
      <c r="I163" s="51">
        <v>6.2515536643900776E-3</v>
      </c>
      <c r="J163" s="51">
        <v>2.7214813160469985E-2</v>
      </c>
      <c r="K163" s="51">
        <v>2.1791861938879008E-2</v>
      </c>
      <c r="L163" s="47">
        <v>3050596</v>
      </c>
      <c r="N163" s="46" t="s">
        <v>272</v>
      </c>
      <c r="R163" s="206"/>
      <c r="S163" s="206"/>
    </row>
    <row r="164" spans="1:19" s="46" customFormat="1">
      <c r="A164" s="47">
        <v>3</v>
      </c>
      <c r="B164" s="51" t="s">
        <v>157</v>
      </c>
      <c r="C164" s="51">
        <v>1.3162473453477064E-2</v>
      </c>
      <c r="D164" s="51">
        <v>4.5947330904745468E-2</v>
      </c>
      <c r="E164" s="51">
        <v>3.8233669457015104E-2</v>
      </c>
      <c r="F164" s="47">
        <v>3050596</v>
      </c>
      <c r="G164" s="47">
        <v>3</v>
      </c>
      <c r="H164" s="51" t="s">
        <v>161</v>
      </c>
      <c r="I164" s="51">
        <v>1.9903415873192633E-2</v>
      </c>
      <c r="J164" s="51">
        <v>2.1779328867492107E-2</v>
      </c>
      <c r="K164" s="51">
        <v>2.0235640721455398E-2</v>
      </c>
      <c r="L164" s="47">
        <v>553960</v>
      </c>
      <c r="N164" s="46" t="s">
        <v>273</v>
      </c>
      <c r="R164" s="206"/>
      <c r="S164" s="206"/>
    </row>
    <row r="165" spans="1:19" s="46" customFormat="1">
      <c r="A165" s="47">
        <v>4</v>
      </c>
      <c r="B165" s="51" t="s">
        <v>161</v>
      </c>
      <c r="C165" s="51">
        <v>2.1469190239246306E-2</v>
      </c>
      <c r="D165" s="51">
        <v>2.0990257574818792E-2</v>
      </c>
      <c r="E165" s="51">
        <v>2.2442652704209174E-2</v>
      </c>
      <c r="F165" s="47">
        <v>553960</v>
      </c>
      <c r="G165" s="47">
        <v>4</v>
      </c>
      <c r="H165" s="51" t="s">
        <v>241</v>
      </c>
      <c r="I165" s="51">
        <v>0</v>
      </c>
      <c r="J165" s="51">
        <v>7.9915657965054319E-3</v>
      </c>
      <c r="K165" s="51">
        <v>6.3596824423359814E-3</v>
      </c>
      <c r="L165" s="47">
        <v>3689192</v>
      </c>
      <c r="R165" s="206"/>
      <c r="S165" s="206"/>
    </row>
    <row r="166" spans="1:19" s="46" customFormat="1">
      <c r="A166" s="47">
        <v>5</v>
      </c>
      <c r="B166" s="51" t="s">
        <v>241</v>
      </c>
      <c r="C166" s="51">
        <v>0</v>
      </c>
      <c r="D166" s="51">
        <v>7.1653667234369191E-3</v>
      </c>
      <c r="E166" s="51">
        <v>0</v>
      </c>
      <c r="F166" s="47">
        <v>3689192</v>
      </c>
      <c r="G166" s="47">
        <v>5</v>
      </c>
      <c r="H166" s="51" t="s">
        <v>274</v>
      </c>
      <c r="I166" s="51">
        <v>0</v>
      </c>
      <c r="J166" s="51">
        <v>7.3185914157872407E-3</v>
      </c>
      <c r="K166" s="51">
        <v>0</v>
      </c>
      <c r="L166" s="47">
        <v>11115023</v>
      </c>
      <c r="R166" s="206"/>
      <c r="S166" s="206"/>
    </row>
    <row r="167" spans="1:19" s="46" customFormat="1">
      <c r="A167" s="47">
        <v>6</v>
      </c>
      <c r="B167" s="51" t="s">
        <v>244</v>
      </c>
      <c r="C167" s="51">
        <v>0</v>
      </c>
      <c r="D167" s="51">
        <v>0</v>
      </c>
      <c r="E167" s="51">
        <v>1.3949850868555975E-2</v>
      </c>
      <c r="F167" s="47">
        <v>2480382</v>
      </c>
      <c r="G167" s="47">
        <v>6</v>
      </c>
      <c r="H167" s="51" t="s">
        <v>165</v>
      </c>
      <c r="I167" s="51">
        <v>0</v>
      </c>
      <c r="J167" s="51">
        <v>0</v>
      </c>
      <c r="K167" s="51">
        <v>9.7496179990247071E-3</v>
      </c>
      <c r="L167" s="47">
        <v>7434864</v>
      </c>
      <c r="R167" s="206"/>
      <c r="S167" s="206"/>
    </row>
    <row r="168" spans="1:19" s="46" customFormat="1">
      <c r="A168" s="47">
        <v>7</v>
      </c>
      <c r="B168" s="51" t="s">
        <v>162</v>
      </c>
      <c r="C168" s="51">
        <v>2.6416311740315321E-2</v>
      </c>
      <c r="D168" s="51">
        <v>0</v>
      </c>
      <c r="E168" s="51">
        <v>0</v>
      </c>
      <c r="F168" s="47">
        <v>1692097</v>
      </c>
      <c r="G168" s="47">
        <v>7</v>
      </c>
      <c r="H168" s="51" t="s">
        <v>162</v>
      </c>
      <c r="I168" s="51">
        <v>2.5740796041003735E-2</v>
      </c>
      <c r="J168" s="51">
        <v>0</v>
      </c>
      <c r="K168" s="51">
        <v>0</v>
      </c>
      <c r="L168" s="47">
        <v>1692097</v>
      </c>
      <c r="R168" s="206"/>
      <c r="S168" s="206"/>
    </row>
    <row r="169" spans="1:19" s="46" customFormat="1">
      <c r="A169" s="47">
        <v>8</v>
      </c>
      <c r="B169" s="51" t="s">
        <v>245</v>
      </c>
      <c r="C169" s="51">
        <v>3.2397811489142558E-2</v>
      </c>
      <c r="D169" s="51">
        <v>1.8994129538336568E-2</v>
      </c>
      <c r="E169" s="51">
        <v>2.9604425893052344E-2</v>
      </c>
      <c r="F169" s="47">
        <v>5920853</v>
      </c>
      <c r="G169" s="47">
        <v>8</v>
      </c>
      <c r="H169" s="51" t="s">
        <v>169</v>
      </c>
      <c r="I169" s="51">
        <v>6.4573656726064329E-3</v>
      </c>
      <c r="J169" s="51">
        <v>0</v>
      </c>
      <c r="K169" s="51">
        <v>0</v>
      </c>
      <c r="L169" s="47">
        <v>8497745</v>
      </c>
      <c r="R169" s="206"/>
      <c r="S169" s="206"/>
    </row>
    <row r="170" spans="1:19" s="46" customFormat="1">
      <c r="A170" s="47">
        <v>9</v>
      </c>
      <c r="B170" s="51"/>
      <c r="C170" s="51">
        <v>0</v>
      </c>
      <c r="D170" s="51">
        <v>0</v>
      </c>
      <c r="E170" s="51">
        <v>0</v>
      </c>
      <c r="F170" s="47"/>
      <c r="G170" s="47">
        <v>9</v>
      </c>
      <c r="H170" s="51" t="s">
        <v>245</v>
      </c>
      <c r="I170" s="51">
        <v>2.399433306622345E-2</v>
      </c>
      <c r="J170" s="51">
        <v>1.3848464246015935E-2</v>
      </c>
      <c r="K170" s="51">
        <v>2.378409062584752E-2</v>
      </c>
      <c r="L170" s="47">
        <v>5920853</v>
      </c>
      <c r="R170" s="206"/>
      <c r="S170" s="206"/>
    </row>
    <row r="171" spans="1:19" s="46" customFormat="1">
      <c r="A171" s="47">
        <v>10</v>
      </c>
      <c r="B171" s="51"/>
      <c r="C171" s="51">
        <v>0</v>
      </c>
      <c r="D171" s="51">
        <v>0</v>
      </c>
      <c r="E171" s="51">
        <v>0</v>
      </c>
      <c r="F171" s="47"/>
      <c r="G171" s="47">
        <v>10</v>
      </c>
      <c r="H171" s="51"/>
      <c r="I171" s="51">
        <v>0</v>
      </c>
      <c r="J171" s="51">
        <v>0</v>
      </c>
      <c r="K171" s="51">
        <v>0</v>
      </c>
      <c r="L171" s="47"/>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B8D8F055-EB08-477E-A773-3ECCBE2896F1}">
      <formula1>$C$112:$C$113</formula1>
    </dataValidation>
  </dataValidations>
  <hyperlinks>
    <hyperlink ref="O1:P1" location="Home_page" display="Back to home page" xr:uid="{80551D36-FD98-452D-8A1A-94B63DB73963}"/>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CD4CAF20-0604-4BFB-94B5-B21A679AA405}">
          <x14:colorSeries rgb="FF323232"/>
          <x14:colorNegative rgb="FFD00000"/>
          <x14:colorAxis rgb="FF000000"/>
          <x14:colorMarkers rgb="FFD00000"/>
          <x14:colorFirst rgb="FFD00000"/>
          <x14:colorLast rgb="FFD00000"/>
          <x14:colorHigh rgb="FFD00000"/>
          <x14:colorLow rgb="FFD00000"/>
          <x14:sparklines>
            <x14:sparkline>
              <xm:f>'Area VIIa nephrops o250kW'!D3:N3</xm:f>
              <xm:sqref>C3</xm:sqref>
            </x14:sparkline>
            <x14:sparkline>
              <xm:f>'Area VIIa nephrops o250kW'!D4:N4</xm:f>
              <xm:sqref>C4</xm:sqref>
            </x14:sparkline>
            <x14:sparkline>
              <xm:f>'Area VIIa nephrops o250kW'!D5:N5</xm:f>
              <xm:sqref>C5</xm:sqref>
            </x14:sparkline>
            <x14:sparkline>
              <xm:f>'Area VIIa nephrops o250kW'!D6:N6</xm:f>
              <xm:sqref>C6</xm:sqref>
            </x14:sparkline>
            <x14:sparkline>
              <xm:f>'Area VIIa nephrops o250kW'!D7:N7</xm:f>
              <xm:sqref>C7</xm:sqref>
            </x14:sparkline>
            <x14:sparkline>
              <xm:f>'Area VIIa nephrops o250kW'!D8:N8</xm:f>
              <xm:sqref>C8</xm:sqref>
            </x14:sparkline>
            <x14:sparkline>
              <xm:f>'Area VIIa nephrops o250kW'!D9:N9</xm:f>
              <xm:sqref>C9</xm:sqref>
            </x14:sparkline>
            <x14:sparkline>
              <xm:f>'Area VIIa nephrops o250kW'!D10:N10</xm:f>
              <xm:sqref>C10</xm:sqref>
            </x14:sparkline>
            <x14:sparkline>
              <xm:f>'Area VIIa nephrops o250kW'!D11:N11</xm:f>
              <xm:sqref>C11</xm:sqref>
            </x14:sparkline>
            <x14:sparkline>
              <xm:f>'Area VIIa nephrops o250kW'!D12:N12</xm:f>
              <xm:sqref>C12</xm:sqref>
            </x14:sparkline>
            <x14:sparkline>
              <xm:f>'Area VIIa nephrops o250kW'!D13:N13</xm:f>
              <xm:sqref>C13</xm:sqref>
            </x14:sparkline>
            <x14:sparkline>
              <xm:f>'Area VIIa nephrops o250kW'!D14:N14</xm:f>
              <xm:sqref>C14</xm:sqref>
            </x14:sparkline>
            <x14:sparkline>
              <xm:f>'Area VIIa nephrops o250kW'!D15:N15</xm:f>
              <xm:sqref>C15</xm:sqref>
            </x14:sparkline>
            <x14:sparkline>
              <xm:f>'Area VIIa nephrops o250kW'!D16:N16</xm:f>
              <xm:sqref>C16</xm:sqref>
            </x14:sparkline>
            <x14:sparkline>
              <xm:f>'Area VIIa nephrops o250kW'!D17:N17</xm:f>
              <xm:sqref>C17</xm:sqref>
            </x14:sparkline>
            <x14:sparkline>
              <xm:f>'Area VIIa nephrops o250kW'!D18:N18</xm:f>
              <xm:sqref>C18</xm:sqref>
            </x14:sparkline>
            <x14:sparkline>
              <xm:f>'Area VIIa nephrops o250kW'!D19:N19</xm:f>
              <xm:sqref>C19</xm:sqref>
            </x14:sparkline>
            <x14:sparkline>
              <xm:f>'Area VIIa nephrops o250kW'!D20:N20</xm:f>
              <xm:sqref>C20</xm:sqref>
            </x14:sparkline>
            <x14:sparkline>
              <xm:f>'Area VIIa nephrops o250kW'!D21:N21</xm:f>
              <xm:sqref>C21</xm:sqref>
            </x14:sparkline>
            <x14:sparkline>
              <xm:f>'Area VIIa nephrops o250kW'!D22:N22</xm:f>
              <xm:sqref>C22</xm:sqref>
            </x14:sparkline>
            <x14:sparkline>
              <xm:f>'Area VIIa nephrops o250kW'!D23:N23</xm:f>
              <xm:sqref>C23</xm:sqref>
            </x14:sparkline>
            <x14:sparkline>
              <xm:f>'Area VIIa nephrops o250kW'!D24:N24</xm:f>
              <xm:sqref>C24</xm:sqref>
            </x14:sparkline>
            <x14:sparkline>
              <xm:f>'Area VIIa nephrops o250kW'!D25:N25</xm:f>
              <xm:sqref>C25</xm:sqref>
            </x14:sparkline>
            <x14:sparkline>
              <xm:f>'Area VIIa nephrops o250kW'!D26:N26</xm:f>
              <xm:sqref>C26</xm:sqref>
            </x14:sparkline>
            <x14:sparkline>
              <xm:f>'Area VIIa nephrops o250kW'!D27:N27</xm:f>
              <xm:sqref>C27</xm:sqref>
            </x14:sparkline>
            <x14:sparkline>
              <xm:f>'Area VIIa nephrops o250kW'!D28:N28</xm:f>
              <xm:sqref>C28</xm:sqref>
            </x14:sparkline>
            <x14:sparkline>
              <xm:f>'Area VIIa nephrops o250kW'!D29:N29</xm:f>
              <xm:sqref>C29</xm:sqref>
            </x14:sparkline>
            <x14:sparkline>
              <xm:f>'Area VIIa nephrops o250kW'!D30:N30</xm:f>
              <xm:sqref>C30</xm:sqref>
            </x14:sparkline>
            <x14:sparkline>
              <xm:f>'Area VIIa nephrops o250kW'!D31:N31</xm:f>
              <xm:sqref>C31</xm:sqref>
            </x14:sparkline>
            <x14:sparkline>
              <xm:f>'Area VIIa nephrops o250kW'!D32:N32</xm:f>
              <xm:sqref>C32</xm:sqref>
            </x14:sparkline>
            <x14:sparkline>
              <xm:f>'Area VIIa nephrops o250kW'!D33:N33</xm:f>
              <xm:sqref>C33</xm:sqref>
            </x14:sparkline>
            <x14:sparkline>
              <xm:f>'Area VIIa nephrops o250kW'!D34:N34</xm:f>
              <xm:sqref>C34</xm:sqref>
            </x14:sparkline>
            <x14:sparkline>
              <xm:f>'Area VIIa nephrops o250kW'!D35:N35</xm:f>
              <xm:sqref>C35</xm:sqref>
            </x14:sparkline>
            <x14:sparkline>
              <xm:f>'Area VIIa nephrops o250kW'!D36:N36</xm:f>
              <xm:sqref>C36</xm:sqref>
            </x14:sparkline>
            <x14:sparkline>
              <xm:f>'Area VIIa nephrops o250kW'!D37:N37</xm:f>
              <xm:sqref>C37</xm:sqref>
            </x14:sparkline>
            <x14:sparkline>
              <xm:f>'Area VIIa nephrops o250kW'!D38:N38</xm:f>
              <xm:sqref>C38</xm:sqref>
            </x14:sparkline>
            <x14:sparkline>
              <xm:f>'Area VIIa nephrops o250kW'!D39:N39</xm:f>
              <xm:sqref>C39</xm:sqref>
            </x14:sparkline>
            <x14:sparkline>
              <xm:f>'Area VIIa nephrops o250kW'!D40:N40</xm:f>
              <xm:sqref>C40</xm:sqref>
            </x14:sparkline>
            <x14:sparkline>
              <xm:f>'Area VIIa nephrops o250kW'!D41:N41</xm:f>
              <xm:sqref>C41</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D00-E92D-4771-B8F5-F9BCCEF56815}">
  <sheetPr codeName="Feuil8">
    <pageSetUpPr fitToPage="1"/>
  </sheetPr>
  <dimension ref="A1:S192"/>
  <sheetViews>
    <sheetView topLeftCell="A40" zoomScale="70" zoomScaleNormal="70" zoomScalePageLayoutView="87" workbookViewId="0"/>
  </sheetViews>
  <sheetFormatPr defaultColWidth="9" defaultRowHeight="15"/>
  <cols>
    <col min="1" max="1" width="6" style="21" customWidth="1"/>
    <col min="2" max="2" width="30.25" style="21" customWidth="1"/>
    <col min="3" max="3" width="9.25" style="21" customWidth="1"/>
    <col min="4" max="16" width="10.25" style="21" customWidth="1"/>
    <col min="17" max="16384" width="9" style="21"/>
  </cols>
  <sheetData>
    <row r="1" spans="1:17" s="80" customFormat="1" ht="34.5" customHeight="1" thickBot="1">
      <c r="A1" s="78" t="s">
        <v>12</v>
      </c>
      <c r="B1" s="79"/>
      <c r="C1" s="202"/>
      <c r="D1" s="202"/>
      <c r="E1" s="202"/>
      <c r="F1" s="202"/>
      <c r="G1" s="202"/>
      <c r="H1" s="202"/>
      <c r="I1" s="202"/>
      <c r="J1" s="202"/>
      <c r="K1" s="203"/>
      <c r="L1" s="204"/>
      <c r="M1" s="204" t="s">
        <v>177</v>
      </c>
      <c r="N1" s="81" t="s">
        <v>178</v>
      </c>
      <c r="O1" s="169" t="s">
        <v>179</v>
      </c>
      <c r="P1" s="170"/>
      <c r="Q1" s="202"/>
    </row>
    <row r="2" spans="1:17" s="25" customFormat="1" ht="26.25" thickBot="1">
      <c r="A2" s="205"/>
      <c r="B2" s="22" t="s">
        <v>180</v>
      </c>
      <c r="C2" s="23" t="s">
        <v>181</v>
      </c>
      <c r="D2" s="24">
        <v>2010</v>
      </c>
      <c r="E2" s="24">
        <v>2011</v>
      </c>
      <c r="F2" s="24">
        <v>2012</v>
      </c>
      <c r="G2" s="24">
        <v>2013</v>
      </c>
      <c r="H2" s="24">
        <v>2014</v>
      </c>
      <c r="I2" s="24">
        <v>2015</v>
      </c>
      <c r="J2" s="24">
        <v>2016</v>
      </c>
      <c r="K2" s="24">
        <v>2017</v>
      </c>
      <c r="L2" s="24">
        <v>2018</v>
      </c>
      <c r="M2" s="24">
        <v>2019</v>
      </c>
      <c r="N2" s="24">
        <v>2020</v>
      </c>
      <c r="O2" s="23" t="str">
        <f>"%∆
"&amp;D2&amp;"-"&amp;N2</f>
        <v>%∆
2010-2020</v>
      </c>
      <c r="P2" s="23" t="str">
        <f>"%∆
"&amp;J2&amp;"-"&amp;N2</f>
        <v>%∆
2016-2020</v>
      </c>
      <c r="Q2" s="200"/>
    </row>
    <row r="3" spans="1:17" ht="18" customHeight="1">
      <c r="A3" s="171" t="s">
        <v>182</v>
      </c>
      <c r="B3" s="26" t="s">
        <v>183</v>
      </c>
      <c r="C3" s="27"/>
      <c r="D3" s="27">
        <v>60</v>
      </c>
      <c r="E3" s="27">
        <v>60</v>
      </c>
      <c r="F3" s="27">
        <v>63</v>
      </c>
      <c r="G3" s="27">
        <v>57</v>
      </c>
      <c r="H3" s="27">
        <v>46</v>
      </c>
      <c r="I3" s="27">
        <v>41</v>
      </c>
      <c r="J3" s="27">
        <v>42</v>
      </c>
      <c r="K3" s="27">
        <v>36</v>
      </c>
      <c r="L3" s="27">
        <v>33</v>
      </c>
      <c r="M3" s="27">
        <v>36</v>
      </c>
      <c r="N3" s="27">
        <v>31</v>
      </c>
      <c r="O3" s="28">
        <f t="shared" ref="O3:O41" si="0">IF(N3=0,"",IFERROR(IF(AND(N3&gt;0,D3&lt;0),"na",IF(AND(N3&lt;0,D3&lt;0),-1,1)*(N3-D3)/D3),""))</f>
        <v>-0.48333333333333334</v>
      </c>
      <c r="P3" s="28">
        <f t="shared" ref="P3:P41" si="1">IF(N3=0,"",IFERROR(IF(AND(N3&gt;0,J3&lt;0),"na",IF(AND(N3&lt;0,J3&lt;0),-1,1)*(N3-J3)/J3),""))</f>
        <v>-0.26190476190476192</v>
      </c>
      <c r="Q3" s="206"/>
    </row>
    <row r="4" spans="1:17" ht="18" customHeight="1">
      <c r="A4" s="172"/>
      <c r="B4" s="29" t="s">
        <v>184</v>
      </c>
      <c r="C4" s="30"/>
      <c r="D4" s="30">
        <v>10411</v>
      </c>
      <c r="E4" s="30">
        <v>10192</v>
      </c>
      <c r="F4" s="30">
        <v>10721</v>
      </c>
      <c r="G4" s="30">
        <v>9619</v>
      </c>
      <c r="H4" s="30">
        <v>7890</v>
      </c>
      <c r="I4" s="30">
        <v>6935</v>
      </c>
      <c r="J4" s="30">
        <v>6962</v>
      </c>
      <c r="K4" s="30">
        <v>6235</v>
      </c>
      <c r="L4" s="30">
        <v>6098</v>
      </c>
      <c r="M4" s="30">
        <v>6537</v>
      </c>
      <c r="N4" s="30">
        <v>5368</v>
      </c>
      <c r="O4" s="28">
        <f t="shared" si="0"/>
        <v>-0.48439150898088562</v>
      </c>
      <c r="P4" s="28">
        <f t="shared" si="1"/>
        <v>-0.22895719620798621</v>
      </c>
      <c r="Q4" s="206"/>
    </row>
    <row r="5" spans="1:17" ht="18" customHeight="1">
      <c r="A5" s="172"/>
      <c r="B5" s="29" t="s">
        <v>185</v>
      </c>
      <c r="C5" s="30"/>
      <c r="D5" s="30">
        <v>2576</v>
      </c>
      <c r="E5" s="30">
        <v>2578</v>
      </c>
      <c r="F5" s="30">
        <v>2646</v>
      </c>
      <c r="G5" s="30">
        <v>2364</v>
      </c>
      <c r="H5" s="30">
        <v>1966</v>
      </c>
      <c r="I5" s="30">
        <v>1863</v>
      </c>
      <c r="J5" s="30">
        <v>1805</v>
      </c>
      <c r="K5" s="30">
        <v>1667</v>
      </c>
      <c r="L5" s="30">
        <v>1617</v>
      </c>
      <c r="M5" s="30">
        <v>1543</v>
      </c>
      <c r="N5" s="30">
        <v>1350</v>
      </c>
      <c r="O5" s="28">
        <f t="shared" si="0"/>
        <v>-0.47593167701863354</v>
      </c>
      <c r="P5" s="28">
        <f t="shared" si="1"/>
        <v>-0.25207756232686979</v>
      </c>
      <c r="Q5" s="207"/>
    </row>
    <row r="6" spans="1:17" ht="18" customHeight="1">
      <c r="A6" s="172"/>
      <c r="B6" s="29" t="s">
        <v>186</v>
      </c>
      <c r="C6" s="30"/>
      <c r="D6" s="30">
        <v>9595.80859375</v>
      </c>
      <c r="E6" s="30">
        <v>9490.076171875</v>
      </c>
      <c r="F6" s="30">
        <v>9909.1318359375</v>
      </c>
      <c r="G6" s="30">
        <v>8958.6923828125</v>
      </c>
      <c r="H6" s="30">
        <v>7242.65087890625</v>
      </c>
      <c r="I6" s="30">
        <v>6552.38818359375</v>
      </c>
      <c r="J6" s="30">
        <v>6541.9892578125</v>
      </c>
      <c r="K6" s="30">
        <v>5803.7333984375</v>
      </c>
      <c r="L6" s="30">
        <v>5644.48193359375</v>
      </c>
      <c r="M6" s="30">
        <v>5895.72216796875</v>
      </c>
      <c r="N6" s="30">
        <v>4925.16552734375</v>
      </c>
      <c r="O6" s="28">
        <f t="shared" si="0"/>
        <v>-0.48673783149951128</v>
      </c>
      <c r="P6" s="28">
        <f t="shared" si="1"/>
        <v>-0.24714558015177496</v>
      </c>
      <c r="Q6" s="206"/>
    </row>
    <row r="7" spans="1:17" ht="18" customHeight="1">
      <c r="A7" s="172"/>
      <c r="B7" s="29" t="s">
        <v>187</v>
      </c>
      <c r="C7" s="30"/>
      <c r="D7" s="30">
        <v>4658.64697265625</v>
      </c>
      <c r="E7" s="30">
        <v>4609.2392578125</v>
      </c>
      <c r="F7" s="30">
        <v>4814.935546875</v>
      </c>
      <c r="G7" s="30">
        <v>3903.337158203125</v>
      </c>
      <c r="H7" s="30">
        <v>2854.451416015625</v>
      </c>
      <c r="I7" s="30">
        <v>3081.633544921875</v>
      </c>
      <c r="J7" s="30">
        <v>3236.304931640625</v>
      </c>
      <c r="K7" s="30">
        <v>2808.6533203125</v>
      </c>
      <c r="L7" s="30">
        <v>2637.184326171875</v>
      </c>
      <c r="M7" s="30">
        <v>2831.24755859375</v>
      </c>
      <c r="N7" s="30">
        <v>2252.161865234375</v>
      </c>
      <c r="O7" s="28">
        <f t="shared" si="0"/>
        <v>-0.51656309687053925</v>
      </c>
      <c r="P7" s="28">
        <f t="shared" si="1"/>
        <v>-0.30409466573576077</v>
      </c>
      <c r="Q7" s="206"/>
    </row>
    <row r="8" spans="1:17" ht="18" customHeight="1">
      <c r="A8" s="172"/>
      <c r="B8" s="29" t="s">
        <v>188</v>
      </c>
      <c r="C8" s="31"/>
      <c r="D8" s="31">
        <f ca="1">8.105378*OFFSET(D$112,MATCH($N$1,$C$112:$C$113,0)-1,0)</f>
        <v>8.105378</v>
      </c>
      <c r="E8" s="31">
        <f ca="1">10.813025*OFFSET(E$112,MATCH($N$1,$C$112:$C$113,0)-1,0)</f>
        <v>10.813025</v>
      </c>
      <c r="F8" s="31">
        <f ca="1">11.766545*OFFSET(F$112,MATCH($N$1,$C$112:$C$113,0)-1,0)</f>
        <v>11.766545000000001</v>
      </c>
      <c r="G8" s="31">
        <f ca="1">8.148224*OFFSET(G$112,MATCH($N$1,$C$112:$C$113,0)-1,0)</f>
        <v>8.1482240000000008</v>
      </c>
      <c r="H8" s="31">
        <f ca="1">6.6921815*OFFSET(H$112,MATCH($N$1,$C$112:$C$113,0)-1,0)</f>
        <v>6.6921815000000002</v>
      </c>
      <c r="I8" s="31">
        <f ca="1">6.6857055*OFFSET(I$112,MATCH($N$1,$C$112:$C$113,0)-1,0)</f>
        <v>6.6857055000000001</v>
      </c>
      <c r="J8" s="31">
        <f ca="1">7.549373*OFFSET(J$112,MATCH($N$1,$C$112:$C$113,0)-1,0)</f>
        <v>7.5493730000000001</v>
      </c>
      <c r="K8" s="31">
        <f ca="1">6.388611*OFFSET(K$112,MATCH($N$1,$C$112:$C$113,0)-1,0)</f>
        <v>6.388611</v>
      </c>
      <c r="L8" s="31">
        <f ca="1">6.2393515*OFFSET(L$112,MATCH($N$1,$C$112:$C$113,0)-1,0)</f>
        <v>6.2393514999999997</v>
      </c>
      <c r="M8" s="31">
        <f ca="1">6.709785*OFFSET(M$112,MATCH($N$1,$C$112:$C$113,0)-1,0)</f>
        <v>6.7097850000000001</v>
      </c>
      <c r="N8" s="31">
        <v>3.9660817499999999</v>
      </c>
      <c r="O8" s="28">
        <f t="shared" ca="1" si="0"/>
        <v>-0.51068515866872588</v>
      </c>
      <c r="P8" s="28">
        <f t="shared" ca="1" si="1"/>
        <v>-0.47464753033132689</v>
      </c>
      <c r="Q8" s="206"/>
    </row>
    <row r="9" spans="1:17" ht="18" customHeight="1">
      <c r="A9" s="172"/>
      <c r="B9" s="29" t="s">
        <v>189</v>
      </c>
      <c r="C9" s="30"/>
      <c r="D9" s="30">
        <v>8484</v>
      </c>
      <c r="E9" s="30">
        <v>7971</v>
      </c>
      <c r="F9" s="30">
        <v>8280</v>
      </c>
      <c r="G9" s="30">
        <v>7175</v>
      </c>
      <c r="H9" s="30">
        <v>5982</v>
      </c>
      <c r="I9" s="30">
        <v>5198</v>
      </c>
      <c r="J9" s="30">
        <v>5723</v>
      </c>
      <c r="K9" s="30">
        <v>4513</v>
      </c>
      <c r="L9" s="30">
        <v>4485</v>
      </c>
      <c r="M9" s="30">
        <v>4471</v>
      </c>
      <c r="N9" s="30">
        <v>3222</v>
      </c>
      <c r="O9" s="28">
        <f t="shared" si="0"/>
        <v>-0.62022630834512027</v>
      </c>
      <c r="P9" s="28">
        <f t="shared" si="1"/>
        <v>-0.43700856194303689</v>
      </c>
      <c r="Q9" s="206"/>
    </row>
    <row r="10" spans="1:17" ht="18" customHeight="1">
      <c r="A10" s="172"/>
      <c r="B10" s="29" t="s">
        <v>190</v>
      </c>
      <c r="C10" s="30"/>
      <c r="D10" s="30">
        <v>248.97422790527344</v>
      </c>
      <c r="E10" s="30">
        <v>221.60011291503906</v>
      </c>
      <c r="F10" s="30">
        <v>229.71951293945313</v>
      </c>
      <c r="G10" s="30">
        <v>204.87083435058594</v>
      </c>
      <c r="H10" s="30">
        <v>163.55125427246094</v>
      </c>
      <c r="I10" s="30">
        <v>173.76081848144531</v>
      </c>
      <c r="J10" s="30">
        <v>188.57325744628906</v>
      </c>
      <c r="K10" s="30">
        <v>149.33056640625</v>
      </c>
      <c r="L10" s="30">
        <v>186.16374206542969</v>
      </c>
      <c r="M10" s="30">
        <v>110.03534698486328</v>
      </c>
      <c r="N10" s="30">
        <v>76.339393615722656</v>
      </c>
      <c r="O10" s="32">
        <f t="shared" si="0"/>
        <v>-0.69338435444504198</v>
      </c>
      <c r="P10" s="32">
        <f t="shared" si="1"/>
        <v>-0.5951738085795848</v>
      </c>
      <c r="Q10" s="206"/>
    </row>
    <row r="11" spans="1:17" ht="18" customHeight="1">
      <c r="A11" s="173" t="s">
        <v>191</v>
      </c>
      <c r="B11" s="33" t="s">
        <v>192</v>
      </c>
      <c r="C11" s="34"/>
      <c r="D11" s="34">
        <v>15.470666885375977</v>
      </c>
      <c r="E11" s="34">
        <v>15.441166877746582</v>
      </c>
      <c r="F11" s="34">
        <v>15.268730163574219</v>
      </c>
      <c r="G11" s="34">
        <v>15.463859558105469</v>
      </c>
      <c r="H11" s="34">
        <v>15.353695869445801</v>
      </c>
      <c r="I11" s="34">
        <v>15.750244140625</v>
      </c>
      <c r="J11" s="34">
        <v>15.418333053588867</v>
      </c>
      <c r="K11" s="34">
        <v>15.557499885559082</v>
      </c>
      <c r="L11" s="34">
        <v>15.974545478820801</v>
      </c>
      <c r="M11" s="34">
        <v>15.242777824401855</v>
      </c>
      <c r="N11" s="34">
        <v>15.047741889953613</v>
      </c>
      <c r="O11" s="28">
        <f t="shared" si="0"/>
        <v>-2.7337218140359765E-2</v>
      </c>
      <c r="P11" s="28">
        <f t="shared" si="1"/>
        <v>-2.4035747726242871E-2</v>
      </c>
      <c r="Q11" s="206"/>
    </row>
    <row r="12" spans="1:17" ht="18" customHeight="1">
      <c r="A12" s="174"/>
      <c r="B12" s="35" t="s">
        <v>184</v>
      </c>
      <c r="C12" s="30"/>
      <c r="D12" s="30">
        <v>173.51666259765625</v>
      </c>
      <c r="E12" s="30">
        <v>169.86666870117188</v>
      </c>
      <c r="F12" s="30">
        <v>170.17460632324219</v>
      </c>
      <c r="G12" s="30">
        <v>168.75437927246094</v>
      </c>
      <c r="H12" s="30">
        <v>171.52174377441406</v>
      </c>
      <c r="I12" s="30">
        <v>169.14634704589844</v>
      </c>
      <c r="J12" s="30">
        <v>165.76190185546875</v>
      </c>
      <c r="K12" s="30">
        <v>173.19444274902344</v>
      </c>
      <c r="L12" s="30">
        <v>184.78787231445313</v>
      </c>
      <c r="M12" s="30">
        <v>181.58332824707031</v>
      </c>
      <c r="N12" s="30">
        <v>173.16128540039063</v>
      </c>
      <c r="O12" s="28">
        <f t="shared" si="0"/>
        <v>-2.0480868635057831E-3</v>
      </c>
      <c r="P12" s="28">
        <f t="shared" si="1"/>
        <v>4.4638626017777905E-2</v>
      </c>
      <c r="Q12" s="206"/>
    </row>
    <row r="13" spans="1:17" ht="18" customHeight="1">
      <c r="A13" s="174"/>
      <c r="B13" s="35" t="s">
        <v>185</v>
      </c>
      <c r="C13" s="30"/>
      <c r="D13" s="30">
        <v>42.933334350585938</v>
      </c>
      <c r="E13" s="30">
        <v>42.966667175292969</v>
      </c>
      <c r="F13" s="30">
        <v>42</v>
      </c>
      <c r="G13" s="30">
        <v>41.473682403564453</v>
      </c>
      <c r="H13" s="30">
        <v>42.739131927490234</v>
      </c>
      <c r="I13" s="30">
        <v>45.43902587890625</v>
      </c>
      <c r="J13" s="30">
        <v>42.976188659667969</v>
      </c>
      <c r="K13" s="30">
        <v>46.305557250976563</v>
      </c>
      <c r="L13" s="30">
        <v>49</v>
      </c>
      <c r="M13" s="30">
        <v>42.861110687255859</v>
      </c>
      <c r="N13" s="30">
        <v>43.548385620117188</v>
      </c>
      <c r="O13" s="28">
        <f t="shared" si="0"/>
        <v>1.4325727988160696E-2</v>
      </c>
      <c r="P13" s="28">
        <f t="shared" si="1"/>
        <v>1.3314278866850998E-2</v>
      </c>
      <c r="Q13" s="206"/>
    </row>
    <row r="14" spans="1:17" ht="18" customHeight="1">
      <c r="A14" s="174"/>
      <c r="B14" s="35" t="s">
        <v>186</v>
      </c>
      <c r="C14" s="30"/>
      <c r="D14" s="30">
        <v>159.93014526367188</v>
      </c>
      <c r="E14" s="30">
        <v>158.16793823242188</v>
      </c>
      <c r="F14" s="30">
        <v>157.28781127929688</v>
      </c>
      <c r="G14" s="30">
        <v>157.1700439453125</v>
      </c>
      <c r="H14" s="30">
        <v>157.44894409179688</v>
      </c>
      <c r="I14" s="30">
        <v>159.81434631347656</v>
      </c>
      <c r="J14" s="30">
        <v>155.76165771484375</v>
      </c>
      <c r="K14" s="30">
        <v>161.21482849121094</v>
      </c>
      <c r="L14" s="30">
        <v>171.04490661621094</v>
      </c>
      <c r="M14" s="30">
        <v>163.77006530761719</v>
      </c>
      <c r="N14" s="30">
        <v>158.87631225585938</v>
      </c>
      <c r="O14" s="28">
        <f t="shared" si="0"/>
        <v>-6.5893331496390392E-3</v>
      </c>
      <c r="P14" s="28">
        <f t="shared" si="1"/>
        <v>1.9996285265002064E-2</v>
      </c>
      <c r="Q14" s="206"/>
    </row>
    <row r="15" spans="1:17" ht="18" customHeight="1">
      <c r="A15" s="174"/>
      <c r="B15" s="35" t="s">
        <v>187</v>
      </c>
      <c r="C15" s="31"/>
      <c r="D15" s="31">
        <v>77.644119262695313</v>
      </c>
      <c r="E15" s="31">
        <v>76.820655822753906</v>
      </c>
      <c r="F15" s="31">
        <v>76.42755126953125</v>
      </c>
      <c r="G15" s="31">
        <v>68.479598999023438</v>
      </c>
      <c r="H15" s="31">
        <v>62.053295135498047</v>
      </c>
      <c r="I15" s="31">
        <v>75.161796569824219</v>
      </c>
      <c r="J15" s="31">
        <v>77.054878234863281</v>
      </c>
      <c r="K15" s="31">
        <v>78.018142700195313</v>
      </c>
      <c r="L15" s="31">
        <v>79.9146728515625</v>
      </c>
      <c r="M15" s="31">
        <v>78.645767211914063</v>
      </c>
      <c r="N15" s="31">
        <v>72.650382995605469</v>
      </c>
      <c r="O15" s="28">
        <f t="shared" si="0"/>
        <v>-6.4315704969160767E-2</v>
      </c>
      <c r="P15" s="28">
        <f t="shared" si="1"/>
        <v>-5.7160498337728995E-2</v>
      </c>
      <c r="Q15" s="206"/>
    </row>
    <row r="16" spans="1:17" ht="18" customHeight="1">
      <c r="A16" s="174"/>
      <c r="B16" s="35" t="s">
        <v>193</v>
      </c>
      <c r="C16" s="31"/>
      <c r="D16" s="31">
        <f ca="1">135.089640625*OFFSET(D$112,MATCH($N$1,$C$112:$C$113,0)-1,0)</f>
        <v>135.08964062499999</v>
      </c>
      <c r="E16" s="31">
        <f ca="1">180.21709375*OFFSET(E$112,MATCH($N$1,$C$112:$C$113,0)-1,0)</f>
        <v>180.21709375</v>
      </c>
      <c r="F16" s="31">
        <f ca="1">186.770546875*OFFSET(F$112,MATCH($N$1,$C$112:$C$113,0)-1,0)</f>
        <v>186.77054687500001</v>
      </c>
      <c r="G16" s="31">
        <f ca="1">142.951296875*OFFSET(G$112,MATCH($N$1,$C$112:$C$113,0)-1,0)</f>
        <v>142.951296875</v>
      </c>
      <c r="H16" s="31">
        <f ca="1">145.48221875*OFFSET(H$112,MATCH($N$1,$C$112:$C$113,0)-1,0)</f>
        <v>145.48221874999999</v>
      </c>
      <c r="I16" s="31">
        <f ca="1">163.065984375*OFFSET(I$112,MATCH($N$1,$C$112:$C$113,0)-1,0)</f>
        <v>163.065984375</v>
      </c>
      <c r="J16" s="31">
        <f ca="1">179.74696875*OFFSET(J$112,MATCH($N$1,$C$112:$C$113,0)-1,0)</f>
        <v>179.74696875000001</v>
      </c>
      <c r="K16" s="31">
        <f ca="1">177.461421875*OFFSET(K$112,MATCH($N$1,$C$112:$C$113,0)-1,0)</f>
        <v>177.46142187500001</v>
      </c>
      <c r="L16" s="31">
        <f ca="1">189.07125*OFFSET(L$112,MATCH($N$1,$C$112:$C$113,0)-1,0)</f>
        <v>189.07124999999999</v>
      </c>
      <c r="M16" s="31">
        <f ca="1">186.382921875*OFFSET(M$112,MATCH($N$1,$C$112:$C$113,0)-1,0)</f>
        <v>186.38292187499999</v>
      </c>
      <c r="N16" s="31">
        <v>127.9381171875</v>
      </c>
      <c r="O16" s="28">
        <f t="shared" ca="1" si="0"/>
        <v>-5.2939095880432094E-2</v>
      </c>
      <c r="P16" s="28">
        <f t="shared" ca="1" si="1"/>
        <v>-0.28823212943611881</v>
      </c>
      <c r="Q16" s="206"/>
    </row>
    <row r="17" spans="1:16" ht="18" customHeight="1">
      <c r="A17" s="174"/>
      <c r="B17" s="35" t="s">
        <v>189</v>
      </c>
      <c r="C17" s="30"/>
      <c r="D17" s="30">
        <v>141.39999389648438</v>
      </c>
      <c r="E17" s="30">
        <v>132.85000610351563</v>
      </c>
      <c r="F17" s="30">
        <v>131.42857360839844</v>
      </c>
      <c r="G17" s="30">
        <v>125.87718963623047</v>
      </c>
      <c r="H17" s="30">
        <v>130.04347229003906</v>
      </c>
      <c r="I17" s="30">
        <v>126.78048706054688</v>
      </c>
      <c r="J17" s="30">
        <v>136.26190185546875</v>
      </c>
      <c r="K17" s="30">
        <v>125.36111450195313</v>
      </c>
      <c r="L17" s="30">
        <v>135.90908813476563</v>
      </c>
      <c r="M17" s="30">
        <v>124.19444274902344</v>
      </c>
      <c r="N17" s="30">
        <v>103.93548583984375</v>
      </c>
      <c r="O17" s="28">
        <f t="shared" si="0"/>
        <v>-0.26495409953176879</v>
      </c>
      <c r="P17" s="28">
        <f t="shared" si="1"/>
        <v>-0.23723737578470919</v>
      </c>
    </row>
    <row r="18" spans="1:16" ht="18" customHeight="1">
      <c r="A18" s="174"/>
      <c r="B18" s="35" t="s">
        <v>194</v>
      </c>
      <c r="C18" s="30"/>
      <c r="D18" s="30">
        <v>35.283332824707031</v>
      </c>
      <c r="E18" s="30">
        <v>37.183334350585938</v>
      </c>
      <c r="F18" s="30">
        <v>36.682540893554688</v>
      </c>
      <c r="G18" s="30">
        <v>39.350875854492188</v>
      </c>
      <c r="H18" s="30">
        <v>38.804347991943359</v>
      </c>
      <c r="I18" s="30">
        <v>40.073169708251953</v>
      </c>
      <c r="J18" s="30">
        <v>40.833332061767578</v>
      </c>
      <c r="K18" s="30">
        <v>39.833332061767578</v>
      </c>
      <c r="L18" s="30">
        <v>40.969696044921875</v>
      </c>
      <c r="M18" s="30">
        <v>40.055557250976563</v>
      </c>
      <c r="N18" s="30">
        <v>41.870967864990234</v>
      </c>
      <c r="O18" s="28">
        <f t="shared" si="0"/>
        <v>0.1867067114382753</v>
      </c>
      <c r="P18" s="28">
        <f t="shared" si="1"/>
        <v>2.541148984983763E-2</v>
      </c>
    </row>
    <row r="19" spans="1:16" ht="18" customHeight="1">
      <c r="A19" s="174"/>
      <c r="B19" s="35" t="s">
        <v>195</v>
      </c>
      <c r="C19" s="36"/>
      <c r="D19" s="36">
        <v>0.54910975694656372</v>
      </c>
      <c r="E19" s="36">
        <v>0.57825106382369995</v>
      </c>
      <c r="F19" s="36">
        <v>0.58151394128799438</v>
      </c>
      <c r="G19" s="36">
        <v>0.54401910305023193</v>
      </c>
      <c r="H19" s="36">
        <v>0.47717347741127014</v>
      </c>
      <c r="I19" s="36">
        <v>0.59284985065460205</v>
      </c>
      <c r="J19" s="36">
        <v>0.56549102067947388</v>
      </c>
      <c r="K19" s="36">
        <v>0.62234723567962646</v>
      </c>
      <c r="L19" s="36">
        <v>0.58800095319747925</v>
      </c>
      <c r="M19" s="36">
        <v>0.63324707746505737</v>
      </c>
      <c r="N19" s="36">
        <v>0.69899499416351318</v>
      </c>
      <c r="O19" s="28">
        <f t="shared" si="0"/>
        <v>0.27296043335747072</v>
      </c>
      <c r="P19" s="28">
        <f t="shared" si="1"/>
        <v>0.23608504574241637</v>
      </c>
    </row>
    <row r="20" spans="1:16" ht="18" customHeight="1">
      <c r="A20" s="175"/>
      <c r="B20" s="37" t="s">
        <v>196</v>
      </c>
      <c r="C20" s="38"/>
      <c r="D20" s="38">
        <f ca="1">1740*OFFSET(D$112,MATCH($N$1,$C$112:$C$113,0)-1,0)</f>
        <v>1740</v>
      </c>
      <c r="E20" s="38">
        <f ca="1">2346*OFFSET(E$112,MATCH($N$1,$C$112:$C$113,0)-1,0)</f>
        <v>2346</v>
      </c>
      <c r="F20" s="38">
        <f ca="1">2444*OFFSET(F$112,MATCH($N$1,$C$112:$C$113,0)-1,0)</f>
        <v>2444</v>
      </c>
      <c r="G20" s="38">
        <f ca="1">2088*OFFSET(G$112,MATCH($N$1,$C$112:$C$113,0)-1,0)</f>
        <v>2088</v>
      </c>
      <c r="H20" s="38">
        <f ca="1">2344*OFFSET(H$112,MATCH($N$1,$C$112:$C$113,0)-1,0)</f>
        <v>2344</v>
      </c>
      <c r="I20" s="38">
        <f ca="1">2170*OFFSET(I$112,MATCH($N$1,$C$112:$C$113,0)-1,0)</f>
        <v>2170</v>
      </c>
      <c r="J20" s="38">
        <f ca="1">2333*OFFSET(J$112,MATCH($N$1,$C$112:$C$113,0)-1,0)</f>
        <v>2333</v>
      </c>
      <c r="K20" s="38">
        <f ca="1">2275*OFFSET(K$112,MATCH($N$1,$C$112:$C$113,0)-1,0)</f>
        <v>2275</v>
      </c>
      <c r="L20" s="38">
        <f ca="1">2366*OFFSET(L$112,MATCH($N$1,$C$112:$C$113,0)-1,0)</f>
        <v>2366</v>
      </c>
      <c r="M20" s="38">
        <f ca="1">2370*OFFSET(M$112,MATCH($N$1,$C$112:$C$113,0)-1,0)</f>
        <v>2370</v>
      </c>
      <c r="N20" s="38">
        <v>1761</v>
      </c>
      <c r="O20" s="32">
        <f t="shared" ca="1" si="0"/>
        <v>1.2068965517241379E-2</v>
      </c>
      <c r="P20" s="32">
        <f t="shared" ca="1" si="1"/>
        <v>-0.24517788255465067</v>
      </c>
    </row>
    <row r="21" spans="1:16" ht="18" customHeight="1">
      <c r="A21" s="176" t="s">
        <v>197</v>
      </c>
      <c r="B21" s="33" t="s">
        <v>198</v>
      </c>
      <c r="C21" s="39"/>
      <c r="D21" s="39">
        <v>3.1505870400848828</v>
      </c>
      <c r="E21" s="39">
        <v>3.3590217052065969</v>
      </c>
      <c r="F21" s="39">
        <v>3.3961332581277488</v>
      </c>
      <c r="G21" s="39">
        <v>3.173493963976195</v>
      </c>
      <c r="H21" s="39">
        <v>2.7335049176467137</v>
      </c>
      <c r="I21" s="39">
        <v>3.4210155616052056</v>
      </c>
      <c r="J21" s="39">
        <v>3.3465052515072471</v>
      </c>
      <c r="K21" s="39">
        <v>3.5067224258126615</v>
      </c>
      <c r="L21" s="39">
        <v>3.0978682595323872</v>
      </c>
      <c r="M21" s="39">
        <v>3.3938615118334048</v>
      </c>
      <c r="N21" s="39">
        <v>3.8413850854183398</v>
      </c>
      <c r="O21" s="28">
        <f t="shared" si="0"/>
        <v>0.2192601050358049</v>
      </c>
      <c r="P21" s="28">
        <f t="shared" si="1"/>
        <v>0.14787959280452395</v>
      </c>
    </row>
    <row r="22" spans="1:16" ht="18" customHeight="1">
      <c r="A22" s="176"/>
      <c r="B22" s="35" t="s">
        <v>199</v>
      </c>
      <c r="C22" s="36"/>
      <c r="D22" s="36">
        <f ca="1">5.48156995075012*OFFSET(D$112,MATCH($N$1,$C$112:$C$113,0)-1,0)</f>
        <v>5.4815699507501199</v>
      </c>
      <c r="E22" s="36">
        <f ca="1">7.88008281200067*OFFSET(E$112,MATCH($N$1,$C$112:$C$113,0)-1,0)</f>
        <v>7.8800828120006701</v>
      </c>
      <c r="F22" s="36">
        <f ca="1">8.29933257502868*OFFSET(F$112,MATCH($N$1,$C$112:$C$113,0)-1,0)</f>
        <v>8.2993325750286804</v>
      </c>
      <c r="G22" s="36">
        <f ca="1">6.62467485800919*OFFSET(G$112,MATCH($N$1,$C$112:$C$113,0)-1,0)</f>
        <v>6.6246748580091896</v>
      </c>
      <c r="H22" s="36">
        <f ca="1">6.40862599665213*OFFSET(H$112,MATCH($N$1,$C$112:$C$113,0)-1,0)</f>
        <v>6.4086259966521304</v>
      </c>
      <c r="I22" s="36">
        <f ca="1">7.42200553438223*OFFSET(I$112,MATCH($N$1,$C$112:$C$113,0)-1,0)</f>
        <v>7.4220055343822304</v>
      </c>
      <c r="J22" s="36">
        <f ca="1">7.80643858823497*OFFSET(J$112,MATCH($N$1,$C$112:$C$113,0)-1,0)</f>
        <v>7.8064385882349701</v>
      </c>
      <c r="K22" s="36">
        <f ca="1">7.97645171068788*OFFSET(K$112,MATCH($N$1,$C$112:$C$113,0)-1,0)</f>
        <v>7.9764517106878801</v>
      </c>
      <c r="L22" s="36">
        <f ca="1">7.32929014491562*OFFSET(L$112,MATCH($N$1,$C$112:$C$113,0)-1,0)</f>
        <v>7.3292901449156203</v>
      </c>
      <c r="M22" s="36">
        <f ca="1">8.04312612667587*OFFSET(M$112,MATCH($N$1,$C$112:$C$113,0)-1,0)</f>
        <v>8.0431261266758707</v>
      </c>
      <c r="N22" s="36">
        <v>6.7647210510960969</v>
      </c>
      <c r="O22" s="28">
        <f t="shared" ca="1" si="0"/>
        <v>0.23408459836773324</v>
      </c>
      <c r="P22" s="28">
        <f t="shared" ca="1" si="1"/>
        <v>-0.13344337822740815</v>
      </c>
    </row>
    <row r="23" spans="1:16" ht="18" customHeight="1">
      <c r="A23" s="176"/>
      <c r="B23" s="35" t="s">
        <v>154</v>
      </c>
      <c r="C23" s="36"/>
      <c r="D23" s="36">
        <f ca="1">4.58313039080436*OFFSET(D$112,MATCH($N$1,$C$112:$C$113,0)-1,0)</f>
        <v>4.5831303908043601</v>
      </c>
      <c r="E23" s="36">
        <f ca="1">5.98230756893556*OFFSET(E$112,MATCH($N$1,$C$112:$C$113,0)-1,0)</f>
        <v>5.9823075689355596</v>
      </c>
      <c r="F23" s="36">
        <f ca="1">6.61296407611259*OFFSET(F$112,MATCH($N$1,$C$112:$C$113,0)-1,0)</f>
        <v>6.6129640761125899</v>
      </c>
      <c r="G23" s="36">
        <f ca="1">5.2745756284932*OFFSET(G$112,MATCH($N$1,$C$112:$C$113,0)-1,0)</f>
        <v>5.2745756284932002</v>
      </c>
      <c r="H23" s="36">
        <f ca="1">5.39251590952422*OFFSET(H$112,MATCH($N$1,$C$112:$C$113,0)-1,0)</f>
        <v>5.3925159095242199</v>
      </c>
      <c r="I23" s="36">
        <f ca="1">5.91073906262557*OFFSET(I$112,MATCH($N$1,$C$112:$C$113,0)-1,0)</f>
        <v>5.91073906262557</v>
      </c>
      <c r="J23" s="36">
        <f ca="1">6.09265297508432*OFFSET(J$112,MATCH($N$1,$C$112:$C$113,0)-1,0)</f>
        <v>6.0926529750843201</v>
      </c>
      <c r="K23" s="36">
        <f ca="1">6.53181156698222*OFFSET(K$112,MATCH($N$1,$C$112:$C$113,0)-1,0)</f>
        <v>6.5318115669822197</v>
      </c>
      <c r="L23" s="36">
        <f ca="1">5.90481117995126*OFFSET(L$112,MATCH($N$1,$C$112:$C$113,0)-1,0)</f>
        <v>5.9048111799512597</v>
      </c>
      <c r="M23" s="36">
        <f ca="1">6.70659579699117*OFFSET(M$112,MATCH($N$1,$C$112:$C$113,0)-1,0)</f>
        <v>6.70659579699117</v>
      </c>
      <c r="N23" s="36">
        <v>6.4566796702544869</v>
      </c>
      <c r="O23" s="28">
        <f t="shared" ca="1" si="0"/>
        <v>0.40879248890872388</v>
      </c>
      <c r="P23" s="28">
        <f t="shared" ca="1" si="1"/>
        <v>5.9748470273760949E-2</v>
      </c>
    </row>
    <row r="24" spans="1:16" ht="18" customHeight="1">
      <c r="A24" s="176"/>
      <c r="B24" s="35" t="s">
        <v>155</v>
      </c>
      <c r="C24" s="36"/>
      <c r="D24" s="36">
        <f ca="1">0.993220345162059*OFFSET(D$112,MATCH($N$1,$C$112:$C$113,0)-1,0)</f>
        <v>0.99322034516205904</v>
      </c>
      <c r="E24" s="36">
        <f ca="1">1.89777524306511*OFFSET(E$112,MATCH($N$1,$C$112:$C$113,0)-1,0)</f>
        <v>1.89777524306511</v>
      </c>
      <c r="F24" s="36">
        <f ca="1">1.89603924391483*OFFSET(F$112,MATCH($N$1,$C$112:$C$113,0)-1,0)</f>
        <v>1.8960392439148299</v>
      </c>
      <c r="G24" s="36">
        <f ca="1">1.40494385988731*OFFSET(G$112,MATCH($N$1,$C$112:$C$113,0)-1,0)</f>
        <v>1.4049438598873101</v>
      </c>
      <c r="H24" s="36">
        <f ca="1">1.04991838534095*OFFSET(H$112,MATCH($N$1,$C$112:$C$113,0)-1,0)</f>
        <v>1.0499183853409499</v>
      </c>
      <c r="I24" s="36">
        <f ca="1">1.51126647175666*OFFSET(I$112,MATCH($N$1,$C$112:$C$113,0)-1,0)</f>
        <v>1.51126647175666</v>
      </c>
      <c r="J24" s="36">
        <f ca="1">1.71378561315065*OFFSET(J$112,MATCH($N$1,$C$112:$C$113,0)-1,0)</f>
        <v>1.7137856131506499</v>
      </c>
      <c r="K24" s="36">
        <f ca="1">2.13489401909093*OFFSET(K$112,MATCH($N$1,$C$112:$C$113,0)-1,0)</f>
        <v>2.1348940190909298</v>
      </c>
      <c r="L24" s="36">
        <f ca="1">1.53356239333556*OFFSET(L$112,MATCH($N$1,$C$112:$C$113,0)-1,0)</f>
        <v>1.53356239333556</v>
      </c>
      <c r="M24" s="36">
        <f ca="1">1.39459160180396*OFFSET(M$112,MATCH($N$1,$C$112:$C$113,0)-1,0)</f>
        <v>1.3945916018039599</v>
      </c>
      <c r="N24" s="36">
        <v>1.3089558489036452</v>
      </c>
      <c r="O24" s="28">
        <f t="shared" ca="1" si="0"/>
        <v>0.3178906929157489</v>
      </c>
      <c r="P24" s="28">
        <f t="shared" ca="1" si="1"/>
        <v>-0.23621960713204926</v>
      </c>
    </row>
    <row r="25" spans="1:16" ht="18" customHeight="1">
      <c r="A25" s="176"/>
      <c r="B25" s="35" t="s">
        <v>200</v>
      </c>
      <c r="C25" s="31"/>
      <c r="D25" s="31">
        <f ca="1">32.56*OFFSET(D$112,MATCH($N$1,$C$112:$C$113,0)-1,0)</f>
        <v>32.56</v>
      </c>
      <c r="E25" s="31">
        <f ca="1">48.79*OFFSET(E$112,MATCH($N$1,$C$112:$C$113,0)-1,0)</f>
        <v>48.79</v>
      </c>
      <c r="F25" s="31">
        <f ca="1">51.23*OFFSET(F$112,MATCH($N$1,$C$112:$C$113,0)-1,0)</f>
        <v>51.23</v>
      </c>
      <c r="G25" s="31">
        <f ca="1">39.79*OFFSET(G$112,MATCH($N$1,$C$112:$C$113,0)-1,0)</f>
        <v>39.79</v>
      </c>
      <c r="H25" s="31">
        <f ca="1">40.92*OFFSET(H$112,MATCH($N$1,$C$112:$C$113,0)-1,0)</f>
        <v>40.92</v>
      </c>
      <c r="I25" s="31">
        <f ca="1">38.48*OFFSET(I$112,MATCH($N$1,$C$112:$C$113,0)-1,0)</f>
        <v>38.479999999999997</v>
      </c>
      <c r="J25" s="31">
        <f ca="1">40.02*OFFSET(J$112,MATCH($N$1,$C$112:$C$113,0)-1,0)</f>
        <v>40.020000000000003</v>
      </c>
      <c r="K25" s="31">
        <f ca="1">42.79*OFFSET(K$112,MATCH($N$1,$C$112:$C$113,0)-1,0)</f>
        <v>42.79</v>
      </c>
      <c r="L25" s="31">
        <f ca="1">33.52*OFFSET(L$112,MATCH($N$1,$C$112:$C$113,0)-1,0)</f>
        <v>33.520000000000003</v>
      </c>
      <c r="M25" s="31">
        <f ca="1">60.98*OFFSET(M$112,MATCH($N$1,$C$112:$C$113,0)-1,0)</f>
        <v>60.98</v>
      </c>
      <c r="N25" s="31">
        <v>51.94</v>
      </c>
      <c r="O25" s="28">
        <f t="shared" ca="1" si="0"/>
        <v>0.59520884520884498</v>
      </c>
      <c r="P25" s="28">
        <f t="shared" ca="1" si="1"/>
        <v>0.29785107446276848</v>
      </c>
    </row>
    <row r="26" spans="1:16" ht="18" customHeight="1">
      <c r="A26" s="177"/>
      <c r="B26" s="35" t="s">
        <v>201</v>
      </c>
      <c r="C26" s="31"/>
      <c r="D26" s="31">
        <f ca="1">5.9*OFFSET(D$112,MATCH($N$1,$C$112:$C$113,0)-1,0)</f>
        <v>5.9</v>
      </c>
      <c r="E26" s="31">
        <f ca="1">11.75*OFFSET(E$112,MATCH($N$1,$C$112:$C$113,0)-1,0)</f>
        <v>11.75</v>
      </c>
      <c r="F26" s="31">
        <f ca="1">11.71*OFFSET(F$112,MATCH($N$1,$C$112:$C$113,0)-1,0)</f>
        <v>11.71</v>
      </c>
      <c r="G26" s="31">
        <f ca="1">8.43*OFFSET(G$112,MATCH($N$1,$C$112:$C$113,0)-1,0)</f>
        <v>8.43</v>
      </c>
      <c r="H26" s="31">
        <f ca="1">6.69*OFFSET(H$112,MATCH($N$1,$C$112:$C$113,0)-1,0)</f>
        <v>6.69</v>
      </c>
      <c r="I26" s="31">
        <f ca="1">7.83*OFFSET(I$112,MATCH($N$1,$C$112:$C$113,0)-1,0)</f>
        <v>7.83</v>
      </c>
      <c r="J26" s="31">
        <f ca="1">8.8*OFFSET(J$112,MATCH($N$1,$C$112:$C$113,0)-1,0)</f>
        <v>8.8000000000000007</v>
      </c>
      <c r="K26" s="31">
        <f ca="1">11.45*OFFSET(K$112,MATCH($N$1,$C$112:$C$113,0)-1,0)</f>
        <v>11.45</v>
      </c>
      <c r="L26" s="31">
        <f ca="1">7.02*OFFSET(L$112,MATCH($N$1,$C$112:$C$113,0)-1,0)</f>
        <v>7.02</v>
      </c>
      <c r="M26" s="31">
        <f ca="1">10.57*OFFSET(M$112,MATCH($N$1,$C$112:$C$113,0)-1,0)</f>
        <v>10.57</v>
      </c>
      <c r="N26" s="31">
        <v>10.07</v>
      </c>
      <c r="O26" s="32">
        <f t="shared" ca="1" si="0"/>
        <v>0.70677966101694911</v>
      </c>
      <c r="P26" s="32">
        <f t="shared" ca="1" si="1"/>
        <v>0.14431818181818176</v>
      </c>
    </row>
    <row r="27" spans="1:16" ht="18" customHeight="1">
      <c r="A27" s="166" t="s">
        <v>202</v>
      </c>
      <c r="B27" s="33" t="s">
        <v>193</v>
      </c>
      <c r="C27" s="34"/>
      <c r="D27" s="34">
        <f ca="1">135.1*OFFSET(D$112,MATCH($N$1,$C$112:$C$113,0)-1,0)</f>
        <v>135.1</v>
      </c>
      <c r="E27" s="34">
        <f ca="1">180.2*OFFSET(E$112,MATCH($N$1,$C$112:$C$113,0)-1,0)</f>
        <v>180.2</v>
      </c>
      <c r="F27" s="34">
        <f ca="1">186.8*OFFSET(F$112,MATCH($N$1,$C$112:$C$113,0)-1,0)</f>
        <v>186.8</v>
      </c>
      <c r="G27" s="34">
        <f ca="1">143*OFFSET(G$112,MATCH($N$1,$C$112:$C$113,0)-1,0)</f>
        <v>143</v>
      </c>
      <c r="H27" s="34">
        <f ca="1">145.5*OFFSET(H$112,MATCH($N$1,$C$112:$C$113,0)-1,0)</f>
        <v>145.5</v>
      </c>
      <c r="I27" s="34">
        <f ca="1">163.1*OFFSET(I$112,MATCH($N$1,$C$112:$C$113,0)-1,0)</f>
        <v>163.1</v>
      </c>
      <c r="J27" s="34">
        <f ca="1">179.7*OFFSET(J$112,MATCH($N$1,$C$112:$C$113,0)-1,0)</f>
        <v>179.7</v>
      </c>
      <c r="K27" s="34">
        <f ca="1">177.5*OFFSET(K$112,MATCH($N$1,$C$112:$C$113,0)-1,0)</f>
        <v>177.5</v>
      </c>
      <c r="L27" s="34">
        <f ca="1">189.1*OFFSET(L$112,MATCH($N$1,$C$112:$C$113,0)-1,0)</f>
        <v>189.1</v>
      </c>
      <c r="M27" s="34">
        <f ca="1">186.4*OFFSET(M$112,MATCH($N$1,$C$112:$C$113,0)-1,0)</f>
        <v>186.4</v>
      </c>
      <c r="N27" s="34">
        <v>127.9</v>
      </c>
      <c r="O27" s="28">
        <f t="shared" ca="1" si="0"/>
        <v>-5.3293856402664611E-2</v>
      </c>
      <c r="P27" s="28">
        <f t="shared" ca="1" si="1"/>
        <v>-0.28825820812465214</v>
      </c>
    </row>
    <row r="28" spans="1:16" ht="18" customHeight="1">
      <c r="A28" s="178"/>
      <c r="B28" s="35" t="s">
        <v>203</v>
      </c>
      <c r="C28" s="31"/>
      <c r="D28" s="31">
        <f ca="1">2.3*OFFSET(D$112,MATCH($N$1,$C$112:$C$113,0)-1,0)</f>
        <v>2.2999999999999998</v>
      </c>
      <c r="E28" s="31"/>
      <c r="F28" s="31">
        <f ca="1">4.7*OFFSET(F$112,MATCH($N$1,$C$112:$C$113,0)-1,0)</f>
        <v>4.7</v>
      </c>
      <c r="G28" s="31">
        <f ca="1">1.2*OFFSET(G$112,MATCH($N$1,$C$112:$C$113,0)-1,0)</f>
        <v>1.2</v>
      </c>
      <c r="H28" s="31">
        <f ca="1">0.8*OFFSET(H$112,MATCH($N$1,$C$112:$C$113,0)-1,0)</f>
        <v>0.8</v>
      </c>
      <c r="I28" s="31"/>
      <c r="J28" s="31"/>
      <c r="K28" s="31">
        <f ca="1">15.4*OFFSET(K$112,MATCH($N$1,$C$112:$C$113,0)-1,0)</f>
        <v>15.4</v>
      </c>
      <c r="L28" s="31">
        <f ca="1">2.8*OFFSET(L$112,MATCH($N$1,$C$112:$C$113,0)-1,0)</f>
        <v>2.8</v>
      </c>
      <c r="M28" s="31">
        <f ca="1">1.3*OFFSET(M$112,MATCH($N$1,$C$112:$C$113,0)-1,0)</f>
        <v>1.3</v>
      </c>
      <c r="N28" s="31">
        <v>18.900000000000002</v>
      </c>
      <c r="O28" s="28">
        <f t="shared" ca="1" si="0"/>
        <v>7.2173913043478271</v>
      </c>
      <c r="P28" s="28" t="str">
        <f t="shared" si="1"/>
        <v/>
      </c>
    </row>
    <row r="29" spans="1:16" ht="18" customHeight="1">
      <c r="A29" s="178"/>
      <c r="B29" s="40" t="s">
        <v>204</v>
      </c>
      <c r="C29" s="41"/>
      <c r="D29" s="41">
        <f ca="1">137.4*OFFSET(D$112,MATCH($N$1,$C$112:$C$113,0)-1,0)</f>
        <v>137.4</v>
      </c>
      <c r="E29" s="41">
        <f ca="1">180.2*OFFSET(E$112,MATCH($N$1,$C$112:$C$113,0)-1,0)</f>
        <v>180.2</v>
      </c>
      <c r="F29" s="41">
        <f ca="1">191.5*OFFSET(F$112,MATCH($N$1,$C$112:$C$113,0)-1,0)</f>
        <v>191.5</v>
      </c>
      <c r="G29" s="41">
        <f ca="1">144.1*OFFSET(G$112,MATCH($N$1,$C$112:$C$113,0)-1,0)</f>
        <v>144.1</v>
      </c>
      <c r="H29" s="41">
        <f ca="1">146.2*OFFSET(H$112,MATCH($N$1,$C$112:$C$113,0)-1,0)</f>
        <v>146.19999999999999</v>
      </c>
      <c r="I29" s="41">
        <f ca="1">163.1*OFFSET(I$112,MATCH($N$1,$C$112:$C$113,0)-1,0)</f>
        <v>163.1</v>
      </c>
      <c r="J29" s="41">
        <f ca="1">179.7*OFFSET(J$112,MATCH($N$1,$C$112:$C$113,0)-1,0)</f>
        <v>179.7</v>
      </c>
      <c r="K29" s="41">
        <f ca="1">192.8*OFFSET(K$112,MATCH($N$1,$C$112:$C$113,0)-1,0)</f>
        <v>192.8</v>
      </c>
      <c r="L29" s="41">
        <f ca="1">191.9*OFFSET(L$112,MATCH($N$1,$C$112:$C$113,0)-1,0)</f>
        <v>191.9</v>
      </c>
      <c r="M29" s="41">
        <f ca="1">187.7*OFFSET(M$112,MATCH($N$1,$C$112:$C$113,0)-1,0)</f>
        <v>187.7</v>
      </c>
      <c r="N29" s="41">
        <v>146.9</v>
      </c>
      <c r="O29" s="28">
        <f t="shared" ca="1" si="0"/>
        <v>6.9141193595342071E-2</v>
      </c>
      <c r="P29" s="28">
        <f t="shared" ca="1" si="1"/>
        <v>-0.18252643294379514</v>
      </c>
    </row>
    <row r="30" spans="1:16" ht="18" customHeight="1">
      <c r="A30" s="178"/>
      <c r="B30" s="35" t="s">
        <v>205</v>
      </c>
      <c r="C30" s="31"/>
      <c r="D30" s="31">
        <f ca="1">24.9*OFFSET(D$112,MATCH($N$1,$C$112:$C$113,0)-1,0)</f>
        <v>24.9</v>
      </c>
      <c r="E30" s="31">
        <f ca="1">29.9*OFFSET(E$112,MATCH($N$1,$C$112:$C$113,0)-1,0)</f>
        <v>29.9</v>
      </c>
      <c r="F30" s="31">
        <f ca="1">29.9*OFFSET(F$112,MATCH($N$1,$C$112:$C$113,0)-1,0)</f>
        <v>29.9</v>
      </c>
      <c r="G30" s="31">
        <f ca="1">28*OFFSET(G$112,MATCH($N$1,$C$112:$C$113,0)-1,0)</f>
        <v>28</v>
      </c>
      <c r="H30" s="31">
        <f ca="1">26*OFFSET(H$112,MATCH($N$1,$C$112:$C$113,0)-1,0)</f>
        <v>26</v>
      </c>
      <c r="I30" s="31">
        <f ca="1">17.9*OFFSET(I$112,MATCH($N$1,$C$112:$C$113,0)-1,0)</f>
        <v>17.899999999999999</v>
      </c>
      <c r="J30" s="31">
        <f ca="1">17.3*OFFSET(J$112,MATCH($N$1,$C$112:$C$113,0)-1,0)</f>
        <v>17.3</v>
      </c>
      <c r="K30" s="31">
        <f ca="1">20.6*OFFSET(K$112,MATCH($N$1,$C$112:$C$113,0)-1,0)</f>
        <v>20.6</v>
      </c>
      <c r="L30" s="31">
        <f ca="1">28.5*OFFSET(L$112,MATCH($N$1,$C$112:$C$113,0)-1,0)</f>
        <v>28.5</v>
      </c>
      <c r="M30" s="31">
        <f ca="1">24.1*OFFSET(M$112,MATCH($N$1,$C$112:$C$113,0)-1,0)</f>
        <v>24.1</v>
      </c>
      <c r="N30" s="31">
        <v>15</v>
      </c>
      <c r="O30" s="28">
        <f t="shared" ca="1" si="0"/>
        <v>-0.39759036144578308</v>
      </c>
      <c r="P30" s="28">
        <f t="shared" ca="1" si="1"/>
        <v>-0.13294797687861276</v>
      </c>
    </row>
    <row r="31" spans="1:16" ht="18" customHeight="1">
      <c r="A31" s="178"/>
      <c r="B31" s="35" t="s">
        <v>206</v>
      </c>
      <c r="C31" s="31"/>
      <c r="D31" s="31">
        <f ca="1">39*OFFSET(D$112,MATCH($N$1,$C$112:$C$113,0)-1,0)</f>
        <v>39</v>
      </c>
      <c r="E31" s="31">
        <f ca="1">55.1*OFFSET(E$112,MATCH($N$1,$C$112:$C$113,0)-1,0)</f>
        <v>55.1</v>
      </c>
      <c r="F31" s="31">
        <f ca="1">57.1*OFFSET(F$112,MATCH($N$1,$C$112:$C$113,0)-1,0)</f>
        <v>57.1</v>
      </c>
      <c r="G31" s="31">
        <f ca="1">41.2*OFFSET(G$112,MATCH($N$1,$C$112:$C$113,0)-1,0)</f>
        <v>41.2</v>
      </c>
      <c r="H31" s="31">
        <f ca="1">51.6*OFFSET(H$112,MATCH($N$1,$C$112:$C$113,0)-1,0)</f>
        <v>51.6</v>
      </c>
      <c r="I31" s="31">
        <f ca="1">46.1*OFFSET(I$112,MATCH($N$1,$C$112:$C$113,0)-1,0)</f>
        <v>46.1</v>
      </c>
      <c r="J31" s="31">
        <f ca="1">57.1*OFFSET(J$112,MATCH($N$1,$C$112:$C$113,0)-1,0)</f>
        <v>57.1</v>
      </c>
      <c r="K31" s="31">
        <f ca="1">53*OFFSET(K$112,MATCH($N$1,$C$112:$C$113,0)-1,0)</f>
        <v>53</v>
      </c>
      <c r="L31" s="31">
        <f ca="1">68.5*OFFSET(L$112,MATCH($N$1,$C$112:$C$113,0)-1,0)</f>
        <v>68.5</v>
      </c>
      <c r="M31" s="31">
        <f ca="1">64.2*OFFSET(M$112,MATCH($N$1,$C$112:$C$113,0)-1,0)</f>
        <v>64.2</v>
      </c>
      <c r="N31" s="31">
        <v>44.800000000000004</v>
      </c>
      <c r="O31" s="28">
        <f t="shared" ca="1" si="0"/>
        <v>0.14871794871794883</v>
      </c>
      <c r="P31" s="28">
        <f t="shared" ca="1" si="1"/>
        <v>-0.21541155866900169</v>
      </c>
    </row>
    <row r="32" spans="1:16" ht="18" customHeight="1">
      <c r="A32" s="178"/>
      <c r="B32" s="35" t="s">
        <v>207</v>
      </c>
      <c r="C32" s="31"/>
      <c r="D32" s="31">
        <f ca="1">25.8*OFFSET(D$112,MATCH($N$1,$C$112:$C$113,0)-1,0)</f>
        <v>25.8</v>
      </c>
      <c r="E32" s="31">
        <f ca="1">25.7*OFFSET(E$112,MATCH($N$1,$C$112:$C$113,0)-1,0)</f>
        <v>25.7</v>
      </c>
      <c r="F32" s="31">
        <f ca="1">28.8*OFFSET(F$112,MATCH($N$1,$C$112:$C$113,0)-1,0)</f>
        <v>28.8</v>
      </c>
      <c r="G32" s="31">
        <f ca="1">24.7*OFFSET(G$112,MATCH($N$1,$C$112:$C$113,0)-1,0)</f>
        <v>24.7</v>
      </c>
      <c r="H32" s="31">
        <f ca="1">20.3*OFFSET(H$112,MATCH($N$1,$C$112:$C$113,0)-1,0)</f>
        <v>20.3</v>
      </c>
      <c r="I32" s="31">
        <f ca="1">20.5*OFFSET(I$112,MATCH($N$1,$C$112:$C$113,0)-1,0)</f>
        <v>20.5</v>
      </c>
      <c r="J32" s="31">
        <f ca="1">24.8*OFFSET(J$112,MATCH($N$1,$C$112:$C$113,0)-1,0)</f>
        <v>24.8</v>
      </c>
      <c r="K32" s="31">
        <f ca="1">24.9*OFFSET(K$112,MATCH($N$1,$C$112:$C$113,0)-1,0)</f>
        <v>24.9</v>
      </c>
      <c r="L32" s="31">
        <f ca="1">19.7*OFFSET(L$112,MATCH($N$1,$C$112:$C$113,0)-1,0)</f>
        <v>19.7</v>
      </c>
      <c r="M32" s="31">
        <f ca="1">20.4*OFFSET(M$112,MATCH($N$1,$C$112:$C$113,0)-1,0)</f>
        <v>20.399999999999999</v>
      </c>
      <c r="N32" s="31">
        <v>14</v>
      </c>
      <c r="O32" s="28">
        <f t="shared" ca="1" si="0"/>
        <v>-0.45736434108527135</v>
      </c>
      <c r="P32" s="28">
        <f t="shared" ca="1" si="1"/>
        <v>-0.43548387096774194</v>
      </c>
    </row>
    <row r="33" spans="1:16" ht="18" customHeight="1">
      <c r="A33" s="178"/>
      <c r="B33" s="35" t="s">
        <v>208</v>
      </c>
      <c r="C33" s="31"/>
      <c r="D33" s="31">
        <f ca="1">89.7*OFFSET(D$112,MATCH($N$1,$C$112:$C$113,0)-1,0)</f>
        <v>89.7</v>
      </c>
      <c r="E33" s="31">
        <f ca="1">110.8*OFFSET(E$112,MATCH($N$1,$C$112:$C$113,0)-1,0)</f>
        <v>110.8</v>
      </c>
      <c r="F33" s="31">
        <f ca="1">115.9*OFFSET(F$112,MATCH($N$1,$C$112:$C$113,0)-1,0)</f>
        <v>115.9</v>
      </c>
      <c r="G33" s="31">
        <f ca="1">93.9*OFFSET(G$112,MATCH($N$1,$C$112:$C$113,0)-1,0)</f>
        <v>93.9</v>
      </c>
      <c r="H33" s="31">
        <f ca="1">97.9*OFFSET(H$112,MATCH($N$1,$C$112:$C$113,0)-1,0)</f>
        <v>97.9</v>
      </c>
      <c r="I33" s="31">
        <f ca="1">84.5*OFFSET(I$112,MATCH($N$1,$C$112:$C$113,0)-1,0)</f>
        <v>84.5</v>
      </c>
      <c r="J33" s="31">
        <f ca="1">99.1*OFFSET(J$112,MATCH($N$1,$C$112:$C$113,0)-1,0)</f>
        <v>99.1</v>
      </c>
      <c r="K33" s="31">
        <f ca="1">98.4*OFFSET(K$112,MATCH($N$1,$C$112:$C$113,0)-1,0)</f>
        <v>98.4</v>
      </c>
      <c r="L33" s="31">
        <f ca="1">116.6*OFFSET(L$112,MATCH($N$1,$C$112:$C$113,0)-1,0)</f>
        <v>116.6</v>
      </c>
      <c r="M33" s="31">
        <f ca="1">108.7*OFFSET(M$112,MATCH($N$1,$C$112:$C$113,0)-1,0)</f>
        <v>108.7</v>
      </c>
      <c r="N33" s="31">
        <v>73.8</v>
      </c>
      <c r="O33" s="28">
        <f t="shared" ca="1" si="0"/>
        <v>-0.17725752508361209</v>
      </c>
      <c r="P33" s="28">
        <f t="shared" ca="1" si="1"/>
        <v>-0.25529767911200807</v>
      </c>
    </row>
    <row r="34" spans="1:16" ht="18" customHeight="1">
      <c r="A34" s="178"/>
      <c r="B34" s="35" t="s">
        <v>209</v>
      </c>
      <c r="C34" s="31"/>
      <c r="D34" s="31">
        <f ca="1">23.2*OFFSET(D$112,MATCH($N$1,$C$112:$C$113,0)-1,0)</f>
        <v>23.2</v>
      </c>
      <c r="E34" s="31">
        <f ca="1">26*OFFSET(E$112,MATCH($N$1,$C$112:$C$113,0)-1,0)</f>
        <v>26</v>
      </c>
      <c r="F34" s="31">
        <f ca="1">32.9*OFFSET(F$112,MATCH($N$1,$C$112:$C$113,0)-1,0)</f>
        <v>32.9</v>
      </c>
      <c r="G34" s="31">
        <f ca="1">19.9*OFFSET(G$112,MATCH($N$1,$C$112:$C$113,0)-1,0)</f>
        <v>19.899999999999999</v>
      </c>
      <c r="H34" s="31">
        <f ca="1">24.5*OFFSET(H$112,MATCH($N$1,$C$112:$C$113,0)-1,0)</f>
        <v>24.5</v>
      </c>
      <c r="I34" s="31">
        <f ca="1">45.4*OFFSET(I$112,MATCH($N$1,$C$112:$C$113,0)-1,0)</f>
        <v>45.4</v>
      </c>
      <c r="J34" s="31">
        <f ca="1">41.2*OFFSET(J$112,MATCH($N$1,$C$112:$C$113,0)-1,0)</f>
        <v>41.2</v>
      </c>
      <c r="K34" s="31">
        <f ca="1">46.9*OFFSET(K$112,MATCH($N$1,$C$112:$C$113,0)-1,0)</f>
        <v>46.9</v>
      </c>
      <c r="L34" s="31">
        <f ca="1">35.7*OFFSET(L$112,MATCH($N$1,$C$112:$C$113,0)-1,0)</f>
        <v>35.700000000000003</v>
      </c>
      <c r="M34" s="31">
        <f ca="1">46.7*OFFSET(M$112,MATCH($N$1,$C$112:$C$113,0)-1,0)</f>
        <v>46.7</v>
      </c>
      <c r="N34" s="31">
        <v>48.300000000000004</v>
      </c>
      <c r="O34" s="28">
        <f t="shared" ca="1" si="0"/>
        <v>1.0818965517241381</v>
      </c>
      <c r="P34" s="28">
        <f t="shared" ca="1" si="1"/>
        <v>0.17233009708737868</v>
      </c>
    </row>
    <row r="35" spans="1:16" ht="18" customHeight="1">
      <c r="A35" s="178"/>
      <c r="B35" s="35" t="s">
        <v>210</v>
      </c>
      <c r="C35" s="31"/>
      <c r="D35" s="31">
        <f ca="1">112.9*OFFSET(D$112,MATCH($N$1,$C$112:$C$113,0)-1,0)</f>
        <v>112.9</v>
      </c>
      <c r="E35" s="31">
        <f ca="1">136.8*OFFSET(E$112,MATCH($N$1,$C$112:$C$113,0)-1,0)</f>
        <v>136.80000000000001</v>
      </c>
      <c r="F35" s="31">
        <f ca="1">148.8*OFFSET(F$112,MATCH($N$1,$C$112:$C$113,0)-1,0)</f>
        <v>148.80000000000001</v>
      </c>
      <c r="G35" s="31">
        <f ca="1">113.8*OFFSET(G$112,MATCH($N$1,$C$112:$C$113,0)-1,0)</f>
        <v>113.8</v>
      </c>
      <c r="H35" s="31">
        <f ca="1">122.4*OFFSET(H$112,MATCH($N$1,$C$112:$C$113,0)-1,0)</f>
        <v>122.4</v>
      </c>
      <c r="I35" s="31">
        <f ca="1">129.9*OFFSET(I$112,MATCH($N$1,$C$112:$C$113,0)-1,0)</f>
        <v>129.9</v>
      </c>
      <c r="J35" s="31">
        <f ca="1">140.3*OFFSET(J$112,MATCH($N$1,$C$112:$C$113,0)-1,0)</f>
        <v>140.30000000000001</v>
      </c>
      <c r="K35" s="31">
        <f ca="1">145.3*OFFSET(K$112,MATCH($N$1,$C$112:$C$113,0)-1,0)</f>
        <v>145.30000000000001</v>
      </c>
      <c r="L35" s="31">
        <f ca="1">152.3*OFFSET(L$112,MATCH($N$1,$C$112:$C$113,0)-1,0)</f>
        <v>152.30000000000001</v>
      </c>
      <c r="M35" s="31">
        <f ca="1">155.4*OFFSET(M$112,MATCH($N$1,$C$112:$C$113,0)-1,0)</f>
        <v>155.4</v>
      </c>
      <c r="N35" s="31">
        <v>122.10000000000001</v>
      </c>
      <c r="O35" s="28">
        <f t="shared" ca="1" si="0"/>
        <v>8.1488042515500458E-2</v>
      </c>
      <c r="P35" s="28">
        <f t="shared" ca="1" si="1"/>
        <v>-0.12972202423378476</v>
      </c>
    </row>
    <row r="36" spans="1:16" ht="18" customHeight="1">
      <c r="A36" s="178"/>
      <c r="B36" s="40" t="s">
        <v>211</v>
      </c>
      <c r="C36" s="41"/>
      <c r="D36" s="41">
        <f ca="1">63.5*OFFSET(D$112,MATCH($N$1,$C$112:$C$113,0)-1,0)</f>
        <v>63.5</v>
      </c>
      <c r="E36" s="41">
        <f ca="1">98.5*OFFSET(E$112,MATCH($N$1,$C$112:$C$113,0)-1,0)</f>
        <v>98.5</v>
      </c>
      <c r="F36" s="41">
        <f ca="1">99.8*OFFSET(F$112,MATCH($N$1,$C$112:$C$113,0)-1,0)</f>
        <v>99.8</v>
      </c>
      <c r="G36" s="41">
        <f ca="1">71.5*OFFSET(G$112,MATCH($N$1,$C$112:$C$113,0)-1,0)</f>
        <v>71.5</v>
      </c>
      <c r="H36" s="41">
        <f ca="1">75.4*OFFSET(H$112,MATCH($N$1,$C$112:$C$113,0)-1,0)</f>
        <v>75.400000000000006</v>
      </c>
      <c r="I36" s="41">
        <f ca="1">79.3*OFFSET(I$112,MATCH($N$1,$C$112:$C$113,0)-1,0)</f>
        <v>79.3</v>
      </c>
      <c r="J36" s="41">
        <f ca="1">96.6*OFFSET(J$112,MATCH($N$1,$C$112:$C$113,0)-1,0)</f>
        <v>96.6</v>
      </c>
      <c r="K36" s="41">
        <f ca="1">100.5*OFFSET(K$112,MATCH($N$1,$C$112:$C$113,0)-1,0)</f>
        <v>100.5</v>
      </c>
      <c r="L36" s="41">
        <f ca="1">108.1*OFFSET(L$112,MATCH($N$1,$C$112:$C$113,0)-1,0)</f>
        <v>108.1</v>
      </c>
      <c r="M36" s="41">
        <f ca="1">96.5*OFFSET(M$112,MATCH($N$1,$C$112:$C$113,0)-1,0)</f>
        <v>96.5</v>
      </c>
      <c r="N36" s="41">
        <v>69.600000000000009</v>
      </c>
      <c r="O36" s="28">
        <f t="shared" ca="1" si="0"/>
        <v>9.6062992125984389E-2</v>
      </c>
      <c r="P36" s="28">
        <f t="shared" ca="1" si="1"/>
        <v>-0.27950310559006197</v>
      </c>
    </row>
    <row r="37" spans="1:16" ht="18" customHeight="1">
      <c r="A37" s="178"/>
      <c r="B37" s="40" t="s">
        <v>212</v>
      </c>
      <c r="C37" s="41"/>
      <c r="D37" s="41">
        <f ca="1">24.5*OFFSET(D$112,MATCH($N$1,$C$112:$C$113,0)-1,0)</f>
        <v>24.5</v>
      </c>
      <c r="E37" s="41">
        <f ca="1">43.4*OFFSET(E$112,MATCH($N$1,$C$112:$C$113,0)-1,0)</f>
        <v>43.4</v>
      </c>
      <c r="F37" s="41">
        <f ca="1">42.7*OFFSET(F$112,MATCH($N$1,$C$112:$C$113,0)-1,0)</f>
        <v>42.7</v>
      </c>
      <c r="G37" s="41">
        <f ca="1">30.3*OFFSET(G$112,MATCH($N$1,$C$112:$C$113,0)-1,0)</f>
        <v>30.3</v>
      </c>
      <c r="H37" s="41">
        <f ca="1">23.8*OFFSET(H$112,MATCH($N$1,$C$112:$C$113,0)-1,0)</f>
        <v>23.8</v>
      </c>
      <c r="I37" s="41">
        <f ca="1">33.2*OFFSET(I$112,MATCH($N$1,$C$112:$C$113,0)-1,0)</f>
        <v>33.200000000000003</v>
      </c>
      <c r="J37" s="41">
        <f ca="1">39.5*OFFSET(J$112,MATCH($N$1,$C$112:$C$113,0)-1,0)</f>
        <v>39.5</v>
      </c>
      <c r="K37" s="41">
        <f ca="1">47.5*OFFSET(K$112,MATCH($N$1,$C$112:$C$113,0)-1,0)</f>
        <v>47.5</v>
      </c>
      <c r="L37" s="41">
        <f ca="1">39.6*OFFSET(L$112,MATCH($N$1,$C$112:$C$113,0)-1,0)</f>
        <v>39.6</v>
      </c>
      <c r="M37" s="41">
        <f ca="1">32.3*OFFSET(M$112,MATCH($N$1,$C$112:$C$113,0)-1,0)</f>
        <v>32.299999999999997</v>
      </c>
      <c r="N37" s="41">
        <v>24.8</v>
      </c>
      <c r="O37" s="28">
        <f t="shared" ca="1" si="0"/>
        <v>1.2244897959183702E-2</v>
      </c>
      <c r="P37" s="28">
        <f t="shared" ca="1" si="1"/>
        <v>-0.3721518987341772</v>
      </c>
    </row>
    <row r="38" spans="1:16" ht="18" customHeight="1">
      <c r="A38" s="178"/>
      <c r="B38" s="35" t="s">
        <v>213</v>
      </c>
      <c r="C38" s="31"/>
      <c r="D38" s="31">
        <f ca="1">3.1*OFFSET(D$112,MATCH($N$1,$C$112:$C$113,0)-1,0)</f>
        <v>3.1</v>
      </c>
      <c r="E38" s="31">
        <f ca="1">2.6*OFFSET(E$112,MATCH($N$1,$C$112:$C$113,0)-1,0)</f>
        <v>2.6</v>
      </c>
      <c r="F38" s="31">
        <f ca="1">5.4*OFFSET(F$112,MATCH($N$1,$C$112:$C$113,0)-1,0)</f>
        <v>5.4</v>
      </c>
      <c r="G38" s="31">
        <f ca="1">3.9*OFFSET(G$112,MATCH($N$1,$C$112:$C$113,0)-1,0)</f>
        <v>3.9</v>
      </c>
      <c r="H38" s="31">
        <f ca="1">3.3*OFFSET(H$112,MATCH($N$1,$C$112:$C$113,0)-1,0)</f>
        <v>3.3</v>
      </c>
      <c r="I38" s="31">
        <f ca="1">0.5*OFFSET(I$112,MATCH($N$1,$C$112:$C$113,0)-1,0)</f>
        <v>0.5</v>
      </c>
      <c r="J38" s="31">
        <f ca="1">0.7*OFFSET(J$112,MATCH($N$1,$C$112:$C$113,0)-1,0)</f>
        <v>0.7</v>
      </c>
      <c r="K38" s="31">
        <f ca="1">1.5*OFFSET(K$112,MATCH($N$1,$C$112:$C$113,0)-1,0)</f>
        <v>1.5</v>
      </c>
      <c r="L38" s="31">
        <f ca="1">2.9*OFFSET(L$112,MATCH($N$1,$C$112:$C$113,0)-1,0)</f>
        <v>2.9</v>
      </c>
      <c r="M38" s="31">
        <f ca="1">6.6*OFFSET(M$112,MATCH($N$1,$C$112:$C$113,0)-1,0)</f>
        <v>6.6</v>
      </c>
      <c r="N38" s="31"/>
      <c r="O38" s="28" t="str">
        <f t="shared" si="0"/>
        <v/>
      </c>
      <c r="P38" s="28" t="str">
        <f t="shared" si="1"/>
        <v/>
      </c>
    </row>
    <row r="39" spans="1:16" ht="18" customHeight="1">
      <c r="A39" s="178"/>
      <c r="B39" s="35" t="s">
        <v>214</v>
      </c>
      <c r="C39" s="31"/>
      <c r="D39" s="31">
        <f ca="1">0.8*OFFSET(D$112,MATCH($N$1,$C$112:$C$113,0)-1,0)</f>
        <v>0.8</v>
      </c>
      <c r="E39" s="31">
        <f ca="1">1*OFFSET(E$112,MATCH($N$1,$C$112:$C$113,0)-1,0)</f>
        <v>1</v>
      </c>
      <c r="F39" s="31">
        <f ca="1">0.8*OFFSET(F$112,MATCH($N$1,$C$112:$C$113,0)-1,0)</f>
        <v>0.8</v>
      </c>
      <c r="G39" s="31">
        <f ca="1">0.6*OFFSET(G$112,MATCH($N$1,$C$112:$C$113,0)-1,0)</f>
        <v>0.6</v>
      </c>
      <c r="H39" s="31">
        <f ca="1">0.3*OFFSET(H$112,MATCH($N$1,$C$112:$C$113,0)-1,0)</f>
        <v>0.3</v>
      </c>
      <c r="I39" s="31">
        <f ca="1">4*OFFSET(I$112,MATCH($N$1,$C$112:$C$113,0)-1,0)</f>
        <v>4</v>
      </c>
      <c r="J39" s="31">
        <f ca="1">1.4*OFFSET(J$112,MATCH($N$1,$C$112:$C$113,0)-1,0)</f>
        <v>1.4</v>
      </c>
      <c r="K39" s="31">
        <f ca="1">1.2*OFFSET(K$112,MATCH($N$1,$C$112:$C$113,0)-1,0)</f>
        <v>1.2</v>
      </c>
      <c r="L39" s="31">
        <f ca="1">0.2*OFFSET(L$112,MATCH($N$1,$C$112:$C$113,0)-1,0)</f>
        <v>0.2</v>
      </c>
      <c r="M39" s="31">
        <f ca="1">0.6*OFFSET(M$112,MATCH($N$1,$C$112:$C$113,0)-1,0)</f>
        <v>0.6</v>
      </c>
      <c r="N39" s="31"/>
      <c r="O39" s="28" t="str">
        <f t="shared" si="0"/>
        <v/>
      </c>
      <c r="P39" s="28" t="str">
        <f t="shared" si="1"/>
        <v/>
      </c>
    </row>
    <row r="40" spans="1:16" ht="18" customHeight="1">
      <c r="A40" s="178"/>
      <c r="B40" s="35" t="s">
        <v>215</v>
      </c>
      <c r="C40" s="31"/>
      <c r="D40" s="31"/>
      <c r="E40" s="31">
        <f ca="1">0.6*OFFSET(E$112,MATCH($N$1,$C$112:$C$113,0)-1,0)</f>
        <v>0.6</v>
      </c>
      <c r="F40" s="31">
        <f ca="1">0.2*OFFSET(F$112,MATCH($N$1,$C$112:$C$113,0)-1,0)</f>
        <v>0.2</v>
      </c>
      <c r="G40" s="31">
        <f ca="1">0.2*OFFSET(G$112,MATCH($N$1,$C$112:$C$113,0)-1,0)</f>
        <v>0.2</v>
      </c>
      <c r="H40" s="31">
        <f ca="1">4.1*OFFSET(H$112,MATCH($N$1,$C$112:$C$113,0)-1,0)</f>
        <v>4.0999999999999996</v>
      </c>
      <c r="I40" s="31">
        <f ca="1">0.4*OFFSET(I$112,MATCH($N$1,$C$112:$C$113,0)-1,0)</f>
        <v>0.4</v>
      </c>
      <c r="J40" s="31">
        <f ca="1">0.4*OFFSET(J$112,MATCH($N$1,$C$112:$C$113,0)-1,0)</f>
        <v>0.4</v>
      </c>
      <c r="K40" s="31">
        <f ca="1">1.4*OFFSET(K$112,MATCH($N$1,$C$112:$C$113,0)-1,0)</f>
        <v>1.4</v>
      </c>
      <c r="L40" s="31">
        <f ca="1">13.5*OFFSET(L$112,MATCH($N$1,$C$112:$C$113,0)-1,0)</f>
        <v>13.5</v>
      </c>
      <c r="M40" s="31">
        <f ca="1">0.3*OFFSET(M$112,MATCH($N$1,$C$112:$C$113,0)-1,0)</f>
        <v>0.3</v>
      </c>
      <c r="N40" s="31"/>
      <c r="O40" s="28" t="str">
        <f t="shared" si="0"/>
        <v/>
      </c>
      <c r="P40" s="28" t="str">
        <f t="shared" si="1"/>
        <v/>
      </c>
    </row>
    <row r="41" spans="1:16" ht="18" customHeight="1" thickBot="1">
      <c r="A41" s="179"/>
      <c r="B41" s="42" t="s">
        <v>216</v>
      </c>
      <c r="C41" s="43"/>
      <c r="D41" s="43">
        <f ca="1">20.6*OFFSET(D$112,MATCH($N$1,$C$112:$C$113,0)-1,0)</f>
        <v>20.6</v>
      </c>
      <c r="E41" s="43">
        <f ca="1">39.2*OFFSET(E$112,MATCH($N$1,$C$112:$C$113,0)-1,0)</f>
        <v>39.200000000000003</v>
      </c>
      <c r="F41" s="43">
        <f ca="1">36.3*OFFSET(F$112,MATCH($N$1,$C$112:$C$113,0)-1,0)</f>
        <v>36.299999999999997</v>
      </c>
      <c r="G41" s="43">
        <f ca="1">25.5*OFFSET(G$112,MATCH($N$1,$C$112:$C$113,0)-1,0)</f>
        <v>25.5</v>
      </c>
      <c r="H41" s="43">
        <f ca="1">16.1*OFFSET(H$112,MATCH($N$1,$C$112:$C$113,0)-1,0)</f>
        <v>16.100000000000001</v>
      </c>
      <c r="I41" s="43">
        <f ca="1">28.3*OFFSET(I$112,MATCH($N$1,$C$112:$C$113,0)-1,0)</f>
        <v>28.3</v>
      </c>
      <c r="J41" s="43">
        <f ca="1">36.9*OFFSET(J$112,MATCH($N$1,$C$112:$C$113,0)-1,0)</f>
        <v>36.9</v>
      </c>
      <c r="K41" s="43">
        <f ca="1">43.3*OFFSET(K$112,MATCH($N$1,$C$112:$C$113,0)-1,0)</f>
        <v>43.3</v>
      </c>
      <c r="L41" s="43">
        <f ca="1">23*OFFSET(L$112,MATCH($N$1,$C$112:$C$113,0)-1,0)</f>
        <v>23</v>
      </c>
      <c r="M41" s="43">
        <f ca="1">24.9*OFFSET(M$112,MATCH($N$1,$C$112:$C$113,0)-1,0)</f>
        <v>24.9</v>
      </c>
      <c r="N41" s="43"/>
      <c r="O41" s="44" t="str">
        <f t="shared" si="0"/>
        <v/>
      </c>
      <c r="P41" s="44" t="str">
        <f t="shared" si="1"/>
        <v/>
      </c>
    </row>
    <row r="42" spans="1:16" s="82" customFormat="1">
      <c r="A42" s="79" t="s">
        <v>217</v>
      </c>
      <c r="B42" s="79" t="str">
        <f ca="1">B89</f>
        <v>All values are adjusted to 2019 prices. 2020 fishing income based on provisional data from MMO. 2020 costs and profits are projections.</v>
      </c>
      <c r="P42" s="83" t="str">
        <f>M1</f>
        <v>Version: November 2021</v>
      </c>
    </row>
    <row r="43" spans="1:16" s="82" customFormat="1">
      <c r="B43" s="79" t="s">
        <v>218</v>
      </c>
    </row>
    <row r="44" spans="1:16" s="80" customFormat="1" ht="36.75" customHeight="1">
      <c r="A44" s="82"/>
      <c r="B44" s="180"/>
      <c r="C44" s="180"/>
      <c r="D44" s="84"/>
      <c r="E44" s="85"/>
      <c r="F44" s="85"/>
      <c r="G44" s="85"/>
      <c r="H44" s="85"/>
      <c r="I44" s="86"/>
      <c r="J44" s="86"/>
      <c r="K44" s="86"/>
      <c r="L44" s="86"/>
      <c r="M44" s="86"/>
      <c r="N44" s="87"/>
      <c r="O44" s="87"/>
      <c r="P44" s="87"/>
    </row>
    <row r="45" spans="1:16" s="80" customFormat="1" ht="18" customHeight="1">
      <c r="A45" s="82"/>
      <c r="B45" s="181" t="s">
        <v>219</v>
      </c>
      <c r="C45" s="181"/>
      <c r="D45" s="88" t="s">
        <v>220</v>
      </c>
      <c r="E45" s="89" t="s">
        <v>221</v>
      </c>
      <c r="F45" s="89" t="s">
        <v>222</v>
      </c>
      <c r="G45" s="89" t="s">
        <v>223</v>
      </c>
      <c r="H45" s="89" t="s">
        <v>224</v>
      </c>
      <c r="I45" s="86"/>
      <c r="J45" s="86"/>
      <c r="K45" s="86"/>
      <c r="L45" s="86"/>
      <c r="M45" s="86"/>
      <c r="N45" s="87"/>
      <c r="O45" s="87"/>
      <c r="P45" s="87"/>
    </row>
    <row r="46" spans="1:16" s="80" customFormat="1" ht="33" customHeight="1">
      <c r="A46" s="82"/>
      <c r="B46" s="182" t="s">
        <v>225</v>
      </c>
      <c r="C46" s="183"/>
      <c r="D46" s="88" t="s">
        <v>226</v>
      </c>
      <c r="E46" s="90" t="s">
        <v>159</v>
      </c>
      <c r="F46" s="90" t="s">
        <v>163</v>
      </c>
      <c r="G46" s="90" t="s">
        <v>159</v>
      </c>
      <c r="H46" s="90" t="s">
        <v>158</v>
      </c>
      <c r="I46" s="86"/>
      <c r="J46" s="86"/>
      <c r="K46" s="86"/>
      <c r="L46" s="86"/>
      <c r="M46" s="86"/>
      <c r="N46" s="87"/>
      <c r="O46" s="87"/>
      <c r="P46" s="87"/>
    </row>
    <row r="47" spans="1:16" s="82" customFormat="1" ht="52.5" customHeight="1">
      <c r="A47" s="91" t="s">
        <v>227</v>
      </c>
    </row>
    <row r="48" spans="1:16" s="80" customFormat="1">
      <c r="A48" s="92" t="str">
        <f>$B21&amp;CHAR(10)&amp;$A$1</f>
        <v>Landings per kW day at sea (kg)
Area VIIA nephrops under 250kW</v>
      </c>
      <c r="B48" s="202"/>
      <c r="C48" s="92"/>
      <c r="D48" s="92"/>
      <c r="E48" s="92"/>
      <c r="F48" s="92"/>
      <c r="G48" s="92"/>
      <c r="H48" s="202"/>
      <c r="I48" s="202"/>
      <c r="J48" s="202"/>
      <c r="K48" s="92" t="str">
        <f>$B24&amp;CHAR(10)&amp;$A$1</f>
        <v>Operating profit per kW day at sea (£)
Area VIIA nephrops under 250kW</v>
      </c>
      <c r="L48" s="202"/>
      <c r="M48" s="202"/>
      <c r="N48" s="202"/>
      <c r="O48" s="202"/>
      <c r="P48" s="202"/>
    </row>
    <row r="49" spans="1:11" s="80" customFormat="1">
      <c r="A49" s="92" t="str">
        <f>$B22&amp;CHAR(10)&amp;$A$1</f>
        <v>Fishing income per kW day at sea (£)
Area VIIA nephrops under 250kW</v>
      </c>
      <c r="B49" s="202"/>
      <c r="C49" s="202"/>
      <c r="D49" s="202"/>
      <c r="E49" s="202"/>
      <c r="F49" s="202"/>
      <c r="G49" s="202"/>
      <c r="H49" s="202"/>
      <c r="I49" s="202"/>
      <c r="J49" s="202"/>
      <c r="K49" s="202"/>
    </row>
    <row r="50" spans="1:11" s="80" customFormat="1">
      <c r="A50" s="92" t="str">
        <f>$B20&amp;CHAR(10)&amp;$A$1</f>
        <v>Average price per tonne landed (£)
Area VIIA nephrops under 250kW</v>
      </c>
      <c r="B50" s="202"/>
      <c r="C50" s="202"/>
      <c r="D50" s="202"/>
      <c r="E50" s="202"/>
      <c r="F50" s="202"/>
      <c r="G50" s="202"/>
      <c r="H50" s="202"/>
      <c r="I50" s="202"/>
      <c r="J50" s="202"/>
      <c r="K50" s="202"/>
    </row>
    <row r="51" spans="1:11" s="80" customFormat="1">
      <c r="A51" s="202"/>
      <c r="B51" s="202"/>
      <c r="C51" s="202"/>
      <c r="D51" s="202"/>
      <c r="E51" s="202"/>
      <c r="F51" s="202"/>
      <c r="G51" s="202"/>
      <c r="H51" s="202"/>
      <c r="I51" s="202"/>
      <c r="J51" s="202"/>
      <c r="K51" s="202"/>
    </row>
    <row r="52" spans="1:11" s="80" customFormat="1">
      <c r="A52" s="202"/>
      <c r="B52" s="202"/>
      <c r="C52" s="202"/>
      <c r="D52" s="202"/>
      <c r="E52" s="202"/>
      <c r="F52" s="202"/>
      <c r="G52" s="202"/>
      <c r="H52" s="202"/>
      <c r="I52" s="202"/>
      <c r="J52" s="202"/>
      <c r="K52" s="202"/>
    </row>
    <row r="53" spans="1:11" s="80" customFormat="1">
      <c r="A53" s="202"/>
      <c r="B53" s="202"/>
      <c r="C53" s="202"/>
      <c r="D53" s="202"/>
      <c r="E53" s="202"/>
      <c r="F53" s="202"/>
      <c r="G53" s="202"/>
      <c r="H53" s="202"/>
      <c r="I53" s="202"/>
      <c r="J53" s="202"/>
      <c r="K53" s="202"/>
    </row>
    <row r="54" spans="1:11" s="80" customFormat="1">
      <c r="A54" s="202"/>
      <c r="B54" s="202"/>
      <c r="C54" s="202"/>
      <c r="D54" s="202"/>
      <c r="E54" s="202"/>
      <c r="F54" s="202"/>
      <c r="G54" s="202"/>
      <c r="H54" s="202"/>
      <c r="I54" s="202"/>
      <c r="J54" s="202"/>
      <c r="K54" s="202"/>
    </row>
    <row r="55" spans="1:11" s="80" customFormat="1">
      <c r="A55" s="202"/>
      <c r="B55" s="202"/>
      <c r="C55" s="202"/>
      <c r="D55" s="202"/>
      <c r="E55" s="202"/>
      <c r="F55" s="202"/>
      <c r="G55" s="202"/>
      <c r="H55" s="202"/>
      <c r="I55" s="202"/>
      <c r="J55" s="202"/>
      <c r="K55" s="202"/>
    </row>
    <row r="56" spans="1:11" s="80" customFormat="1">
      <c r="A56" s="202"/>
      <c r="B56" s="202"/>
      <c r="C56" s="202"/>
      <c r="D56" s="202"/>
      <c r="E56" s="202"/>
      <c r="F56" s="202"/>
      <c r="G56" s="202"/>
      <c r="H56" s="202"/>
      <c r="I56" s="202"/>
      <c r="J56" s="202"/>
      <c r="K56" s="202"/>
    </row>
    <row r="57" spans="1:11" s="80" customFormat="1">
      <c r="A57" s="202"/>
      <c r="B57" s="202"/>
      <c r="C57" s="202"/>
      <c r="D57" s="202"/>
      <c r="E57" s="202"/>
      <c r="F57" s="202"/>
      <c r="G57" s="202"/>
      <c r="H57" s="202"/>
      <c r="I57" s="202"/>
      <c r="J57" s="202"/>
      <c r="K57" s="202"/>
    </row>
    <row r="58" spans="1:11" s="80" customFormat="1">
      <c r="A58" s="202"/>
      <c r="B58" s="202"/>
      <c r="C58" s="202"/>
      <c r="D58" s="202"/>
      <c r="E58" s="202"/>
      <c r="F58" s="202"/>
      <c r="G58" s="202"/>
      <c r="H58" s="202"/>
      <c r="I58" s="202"/>
      <c r="J58" s="202"/>
      <c r="K58" s="202"/>
    </row>
    <row r="59" spans="1:11" s="80" customFormat="1">
      <c r="A59" s="202"/>
      <c r="B59" s="202"/>
      <c r="C59" s="202"/>
      <c r="D59" s="202"/>
      <c r="E59" s="202"/>
      <c r="F59" s="202"/>
      <c r="G59" s="202"/>
      <c r="H59" s="202"/>
      <c r="I59" s="202"/>
      <c r="J59" s="202"/>
      <c r="K59" s="202"/>
    </row>
    <row r="60" spans="1:11" s="80" customFormat="1">
      <c r="A60" s="202"/>
      <c r="B60" s="202"/>
      <c r="C60" s="202"/>
      <c r="D60" s="202"/>
      <c r="E60" s="202"/>
      <c r="F60" s="202"/>
      <c r="G60" s="202"/>
      <c r="H60" s="202"/>
      <c r="I60" s="202"/>
      <c r="J60" s="202"/>
      <c r="K60" s="202"/>
    </row>
    <row r="61" spans="1:11" s="80" customFormat="1">
      <c r="A61" s="92"/>
      <c r="B61" s="202"/>
      <c r="C61" s="92"/>
      <c r="D61" s="92"/>
      <c r="E61" s="92"/>
      <c r="F61" s="202"/>
      <c r="G61" s="202"/>
      <c r="H61" s="202"/>
      <c r="I61" s="202"/>
      <c r="J61" s="202"/>
      <c r="K61" s="202"/>
    </row>
    <row r="62" spans="1:11" s="80" customFormat="1">
      <c r="A62" s="202"/>
      <c r="B62" s="92" t="str">
        <f>$B23&amp;CHAR(10)&amp;$A$1</f>
        <v>Total cost per kW day at sea (£)
Area VIIA nephrops under 250kW</v>
      </c>
      <c r="C62" s="202"/>
      <c r="D62" s="202"/>
      <c r="E62" s="202"/>
      <c r="F62" s="92" t="str">
        <f>$B20&amp;CHAR(10)&amp;$A$1</f>
        <v>Average price per tonne landed (£)
Area VIIA nephrops under 250kW</v>
      </c>
      <c r="G62" s="202"/>
      <c r="H62" s="202"/>
      <c r="I62" s="202"/>
      <c r="J62" s="202"/>
      <c r="K62" s="92" t="str">
        <f>"Average annual operating profit per vessel (£'000)"&amp;CHAR(10)&amp;$A$1</f>
        <v>Average annual operating profit per vessel (£'000)
Area VIIA nephrops under 250kW</v>
      </c>
    </row>
    <row r="63" spans="1:11" s="80" customFormat="1">
      <c r="A63" s="202"/>
      <c r="B63" s="202"/>
      <c r="C63" s="202"/>
      <c r="D63" s="202"/>
      <c r="E63" s="202"/>
      <c r="F63" s="202"/>
      <c r="G63" s="202"/>
      <c r="H63" s="202"/>
      <c r="I63" s="202"/>
      <c r="J63" s="202"/>
      <c r="K63" s="202"/>
    </row>
    <row r="64" spans="1:11" s="80" customFormat="1">
      <c r="A64" s="202"/>
      <c r="B64" s="202"/>
      <c r="C64" s="202"/>
      <c r="D64" s="202"/>
      <c r="E64" s="202"/>
      <c r="F64" s="202"/>
      <c r="G64" s="202"/>
      <c r="H64" s="202"/>
      <c r="I64" s="202"/>
      <c r="J64" s="202"/>
      <c r="K64" s="202"/>
    </row>
    <row r="65" spans="1:11" s="80" customFormat="1">
      <c r="A65" s="202"/>
      <c r="B65" s="202"/>
      <c r="C65" s="202"/>
      <c r="D65" s="202"/>
      <c r="E65" s="202"/>
      <c r="F65" s="202"/>
      <c r="G65" s="202"/>
      <c r="H65" s="202"/>
      <c r="I65" s="202"/>
      <c r="J65" s="202"/>
      <c r="K65" s="202"/>
    </row>
    <row r="66" spans="1:11" s="80" customFormat="1">
      <c r="A66" s="202"/>
      <c r="B66" s="202"/>
      <c r="C66" s="202"/>
      <c r="D66" s="202"/>
      <c r="E66" s="202"/>
      <c r="F66" s="202"/>
      <c r="G66" s="202"/>
      <c r="H66" s="202"/>
      <c r="I66" s="202"/>
      <c r="J66" s="202"/>
      <c r="K66" s="202"/>
    </row>
    <row r="67" spans="1:11" s="80" customFormat="1">
      <c r="A67" s="202"/>
      <c r="B67" s="202"/>
      <c r="C67" s="202"/>
      <c r="D67" s="202"/>
      <c r="E67" s="202"/>
      <c r="F67" s="202"/>
      <c r="G67" s="202"/>
      <c r="H67" s="202"/>
      <c r="I67" s="202"/>
      <c r="J67" s="202"/>
      <c r="K67" s="202"/>
    </row>
    <row r="68" spans="1:11" s="80" customFormat="1">
      <c r="A68" s="202"/>
      <c r="B68" s="202"/>
      <c r="C68" s="202"/>
      <c r="D68" s="202"/>
      <c r="E68" s="202"/>
      <c r="F68" s="202"/>
      <c r="G68" s="202"/>
      <c r="H68" s="202"/>
      <c r="I68" s="202"/>
      <c r="J68" s="202"/>
      <c r="K68" s="202"/>
    </row>
    <row r="69" spans="1:11" s="80" customFormat="1">
      <c r="A69" s="202"/>
      <c r="B69" s="202"/>
      <c r="C69" s="202"/>
      <c r="D69" s="202"/>
      <c r="E69" s="202"/>
      <c r="F69" s="202"/>
      <c r="G69" s="202"/>
      <c r="H69" s="202"/>
      <c r="I69" s="202"/>
      <c r="J69" s="202"/>
      <c r="K69" s="202"/>
    </row>
    <row r="70" spans="1:11" s="80" customFormat="1">
      <c r="A70" s="202"/>
      <c r="B70" s="202"/>
      <c r="C70" s="202"/>
      <c r="D70" s="202"/>
      <c r="E70" s="202"/>
      <c r="F70" s="202"/>
      <c r="G70" s="202"/>
      <c r="H70" s="202"/>
      <c r="I70" s="202"/>
      <c r="J70" s="202"/>
      <c r="K70" s="202"/>
    </row>
    <row r="71" spans="1:11" s="80" customFormat="1">
      <c r="A71" s="202"/>
      <c r="B71" s="202"/>
      <c r="C71" s="202"/>
      <c r="D71" s="202"/>
      <c r="E71" s="202"/>
      <c r="F71" s="202"/>
      <c r="G71" s="202"/>
      <c r="H71" s="202"/>
      <c r="I71" s="202"/>
      <c r="J71" s="202"/>
      <c r="K71" s="202"/>
    </row>
    <row r="72" spans="1:11" s="80" customFormat="1">
      <c r="A72" s="202"/>
      <c r="B72" s="202"/>
      <c r="C72" s="202"/>
      <c r="D72" s="202"/>
      <c r="E72" s="202"/>
      <c r="F72" s="202"/>
      <c r="G72" s="202"/>
      <c r="H72" s="202"/>
      <c r="I72" s="202"/>
      <c r="J72" s="202"/>
      <c r="K72" s="202"/>
    </row>
    <row r="73" spans="1:11" s="80" customFormat="1">
      <c r="A73" s="202"/>
      <c r="B73" s="202"/>
      <c r="C73" s="202"/>
      <c r="D73" s="202"/>
      <c r="E73" s="202"/>
      <c r="F73" s="202"/>
      <c r="G73" s="202"/>
      <c r="H73" s="202"/>
      <c r="I73" s="202"/>
      <c r="J73" s="202"/>
      <c r="K73" s="202"/>
    </row>
    <row r="74" spans="1:11" s="92" customFormat="1"/>
    <row r="75" spans="1:11" s="92" customFormat="1"/>
    <row r="76" spans="1:11" s="92" customFormat="1">
      <c r="A76" s="92" t="str">
        <f>"Top 5 landed species by volume in "&amp;A77&amp;CHAR(10)&amp;A1</f>
        <v>Top 5 landed species by volume in 2019
Area VIIA nephrops under 250kW</v>
      </c>
      <c r="F76" s="92" t="str">
        <f>"Top 5 landed species by value in "&amp;A77&amp;CHAR(10)&amp;A1</f>
        <v>Top 5 landed species by value in 2019
Area VIIA nephrops under 250kW</v>
      </c>
    </row>
    <row r="77" spans="1:11" s="92" customFormat="1">
      <c r="A77" s="92">
        <v>2019</v>
      </c>
      <c r="B77" s="92" t="s">
        <v>287</v>
      </c>
      <c r="C77" s="93">
        <v>0.79251646360760175</v>
      </c>
      <c r="D77" s="94">
        <v>12153634</v>
      </c>
      <c r="G77" s="92" t="s">
        <v>288</v>
      </c>
      <c r="H77" s="93">
        <v>0.85011352937044671</v>
      </c>
      <c r="I77" s="94">
        <v>12153634</v>
      </c>
      <c r="K77" s="92" t="s">
        <v>230</v>
      </c>
    </row>
    <row r="78" spans="1:11" s="92" customFormat="1">
      <c r="B78" s="92" t="s">
        <v>289</v>
      </c>
      <c r="C78" s="93">
        <v>7.679677953985542E-2</v>
      </c>
      <c r="D78" s="94">
        <v>553960</v>
      </c>
      <c r="G78" s="92" t="s">
        <v>236</v>
      </c>
      <c r="H78" s="93">
        <v>7.6051848433357827E-2</v>
      </c>
      <c r="I78" s="94">
        <v>553960</v>
      </c>
    </row>
    <row r="79" spans="1:11" s="92" customFormat="1">
      <c r="B79" s="92" t="s">
        <v>290</v>
      </c>
      <c r="C79" s="93">
        <v>3.4297001584059038E-2</v>
      </c>
      <c r="D79" s="94">
        <v>11115023</v>
      </c>
      <c r="G79" s="92" t="s">
        <v>291</v>
      </c>
      <c r="H79" s="93">
        <v>1.3740227970290583E-2</v>
      </c>
      <c r="I79" s="94">
        <v>3050596</v>
      </c>
    </row>
    <row r="80" spans="1:11" s="92" customFormat="1">
      <c r="B80" s="92" t="s">
        <v>292</v>
      </c>
      <c r="C80" s="93">
        <v>2.1711665469496301E-2</v>
      </c>
      <c r="D80" s="94">
        <v>1692097</v>
      </c>
      <c r="G80" s="92" t="s">
        <v>293</v>
      </c>
      <c r="H80" s="93">
        <v>1.1290620686416647E-2</v>
      </c>
      <c r="I80" s="94">
        <v>1692097</v>
      </c>
    </row>
    <row r="81" spans="1:19" s="92" customFormat="1">
      <c r="B81" s="92" t="s">
        <v>291</v>
      </c>
      <c r="C81" s="93">
        <v>1.4188515474971953E-2</v>
      </c>
      <c r="D81" s="94">
        <v>3050596</v>
      </c>
      <c r="G81" s="92" t="s">
        <v>294</v>
      </c>
      <c r="H81" s="93">
        <v>6.4757651591502621E-3</v>
      </c>
      <c r="I81" s="94">
        <v>3689192</v>
      </c>
    </row>
    <row r="82" spans="1:19" s="92" customFormat="1">
      <c r="B82" s="92" t="s">
        <v>295</v>
      </c>
      <c r="C82" s="93">
        <v>6.0489574324015583E-2</v>
      </c>
      <c r="D82" s="94">
        <v>5920853</v>
      </c>
      <c r="G82" s="92" t="s">
        <v>296</v>
      </c>
      <c r="H82" s="93">
        <v>4.23280083803379E-2</v>
      </c>
      <c r="I82" s="94">
        <v>5920853</v>
      </c>
    </row>
    <row r="83" spans="1:19" s="92" customFormat="1"/>
    <row r="84" spans="1:19" s="92" customFormat="1"/>
    <row r="85" spans="1:19" s="92" customFormat="1"/>
    <row r="86" spans="1:19" s="92" customFormat="1"/>
    <row r="87" spans="1:19" s="92" customFormat="1"/>
    <row r="88" spans="1:19" s="92" customFormat="1"/>
    <row r="89" spans="1:19" s="92" customFormat="1">
      <c r="A89" s="95" t="s">
        <v>217</v>
      </c>
      <c r="B89" s="95" t="str">
        <f ca="1">B114&amp;". "&amp;N2&amp;" fishing income based on provisional data from MMO. "&amp;N2&amp;" costs and profits are projections."</f>
        <v>All values are adjusted to 2019 prices. 2020 fishing income based on provisional data from MMO. 2020 costs and profits are projections.</v>
      </c>
      <c r="P89" s="96" t="str">
        <f>P42</f>
        <v>Version: November 2021</v>
      </c>
      <c r="S89" s="92" t="str">
        <f ca="1">B114</f>
        <v>All values are adjusted to 2019 prices</v>
      </c>
    </row>
    <row r="90" spans="1:19" s="97" customFormat="1">
      <c r="B90" s="95" t="s">
        <v>218</v>
      </c>
    </row>
    <row r="91" spans="1:19" s="92" customFormat="1" hidden="1">
      <c r="D91" s="92">
        <v>2011</v>
      </c>
      <c r="E91" s="92">
        <v>2012</v>
      </c>
      <c r="F91" s="92">
        <v>2013</v>
      </c>
      <c r="G91" s="92">
        <v>2014</v>
      </c>
      <c r="H91" s="92">
        <v>2015</v>
      </c>
      <c r="I91" s="92">
        <v>2016</v>
      </c>
      <c r="J91" s="92">
        <v>2017</v>
      </c>
      <c r="K91" s="92">
        <v>2018</v>
      </c>
      <c r="L91" s="92">
        <v>2019</v>
      </c>
      <c r="M91" s="92">
        <v>2020</v>
      </c>
    </row>
    <row r="92" spans="1:19" s="92" customFormat="1" hidden="1">
      <c r="B92" s="92">
        <v>1</v>
      </c>
      <c r="C92" s="92" t="s">
        <v>160</v>
      </c>
      <c r="D92" s="98">
        <v>0.91819852474464458</v>
      </c>
      <c r="E92" s="98">
        <v>0.9032060191856186</v>
      </c>
      <c r="F92" s="98">
        <v>0.87362223867882838</v>
      </c>
      <c r="G92" s="98">
        <v>0.90305949853469503</v>
      </c>
      <c r="H92" s="98">
        <v>0.90278331713224658</v>
      </c>
      <c r="I92" s="98">
        <v>0.84235050500163366</v>
      </c>
      <c r="J92" s="98">
        <v>0.83241359367682344</v>
      </c>
      <c r="K92" s="98">
        <v>0.83064250311910492</v>
      </c>
      <c r="L92" s="98">
        <v>0.85011352937044671</v>
      </c>
      <c r="M92" s="98">
        <v>0.86578623852118031</v>
      </c>
      <c r="O92" s="92">
        <v>12153634</v>
      </c>
    </row>
    <row r="93" spans="1:19" s="92" customFormat="1" hidden="1">
      <c r="B93" s="92">
        <v>2</v>
      </c>
      <c r="C93" s="92" t="s">
        <v>172</v>
      </c>
      <c r="D93" s="98">
        <v>3.8677457039047021E-2</v>
      </c>
      <c r="E93" s="98">
        <v>4.7225279783895284E-2</v>
      </c>
      <c r="F93" s="98">
        <v>6.2311719672642353E-2</v>
      </c>
      <c r="G93" s="98">
        <v>6.8313504717746706E-2</v>
      </c>
      <c r="H93" s="98">
        <v>6.9062931124094756E-2</v>
      </c>
      <c r="I93" s="98">
        <v>0.11641502449298242</v>
      </c>
      <c r="J93" s="98">
        <v>8.2874988975500982E-2</v>
      </c>
      <c r="K93" s="98">
        <v>0.10175588599698468</v>
      </c>
      <c r="L93" s="98">
        <v>7.6051848433357827E-2</v>
      </c>
      <c r="M93" s="98">
        <v>7.6102779210236907E-2</v>
      </c>
      <c r="O93" s="92">
        <v>553960</v>
      </c>
    </row>
    <row r="94" spans="1:19" s="92" customFormat="1" hidden="1">
      <c r="B94" s="92">
        <v>3</v>
      </c>
      <c r="C94" s="92" t="s">
        <v>161</v>
      </c>
      <c r="D94" s="98">
        <v>8.9998677931392695E-3</v>
      </c>
      <c r="E94" s="98">
        <v>9.202321175997728E-3</v>
      </c>
      <c r="F94" s="98">
        <v>9.5638870923398702E-3</v>
      </c>
      <c r="G94" s="98">
        <v>7.1671041442173938E-3</v>
      </c>
      <c r="H94" s="98">
        <v>4.9242666298980799E-3</v>
      </c>
      <c r="I94" s="98">
        <v>9.0009472793854562E-3</v>
      </c>
      <c r="J94" s="98">
        <v>1.6754843455143338E-2</v>
      </c>
      <c r="K94" s="98">
        <v>1.7492875569921903E-2</v>
      </c>
      <c r="L94" s="98">
        <v>1.3740227970290583E-2</v>
      </c>
      <c r="M94" s="98">
        <v>1.3662675778808643E-2</v>
      </c>
      <c r="O94" s="92">
        <v>3050596</v>
      </c>
    </row>
    <row r="95" spans="1:19" s="92" customFormat="1" hidden="1">
      <c r="B95" s="92">
        <v>4</v>
      </c>
      <c r="C95" s="92" t="s">
        <v>157</v>
      </c>
      <c r="D95" s="98"/>
      <c r="E95" s="98"/>
      <c r="F95" s="98"/>
      <c r="G95" s="98"/>
      <c r="H95" s="98"/>
      <c r="I95" s="98">
        <v>3.6080946254053543E-3</v>
      </c>
      <c r="J95" s="98">
        <v>1.9500595550144356E-2</v>
      </c>
      <c r="K95" s="98">
        <v>1.1270461610199203E-2</v>
      </c>
      <c r="L95" s="98">
        <v>1.1290620686416647E-2</v>
      </c>
      <c r="M95" s="98"/>
      <c r="O95" s="92">
        <v>1692097</v>
      </c>
    </row>
    <row r="96" spans="1:19" s="92" customFormat="1" hidden="1">
      <c r="B96" s="92">
        <v>5</v>
      </c>
      <c r="C96" s="92" t="s">
        <v>285</v>
      </c>
      <c r="D96" s="98"/>
      <c r="E96" s="98"/>
      <c r="F96" s="98"/>
      <c r="G96" s="98"/>
      <c r="H96" s="98"/>
      <c r="I96" s="98"/>
      <c r="J96" s="98"/>
      <c r="K96" s="98"/>
      <c r="L96" s="98">
        <v>6.4757651591502621E-3</v>
      </c>
      <c r="M96" s="98"/>
      <c r="O96" s="92">
        <v>3689192</v>
      </c>
    </row>
    <row r="97" spans="1:15" s="92" customFormat="1" hidden="1">
      <c r="B97" s="92">
        <v>6</v>
      </c>
      <c r="C97" s="92" t="s">
        <v>170</v>
      </c>
      <c r="D97" s="98"/>
      <c r="E97" s="98"/>
      <c r="F97" s="98"/>
      <c r="G97" s="98"/>
      <c r="H97" s="98"/>
      <c r="I97" s="98"/>
      <c r="J97" s="98"/>
      <c r="K97" s="98"/>
      <c r="L97" s="98"/>
      <c r="M97" s="98">
        <v>5.4309643106827035E-3</v>
      </c>
      <c r="O97" s="92">
        <v>11115023</v>
      </c>
    </row>
    <row r="98" spans="1:15" s="92" customFormat="1" hidden="1">
      <c r="B98" s="92">
        <v>7</v>
      </c>
      <c r="C98" s="92" t="s">
        <v>274</v>
      </c>
      <c r="D98" s="98"/>
      <c r="E98" s="98"/>
      <c r="F98" s="98"/>
      <c r="G98" s="98">
        <v>2.9582267272523508E-3</v>
      </c>
      <c r="H98" s="98">
        <v>5.3321319175030383E-3</v>
      </c>
      <c r="I98" s="98"/>
      <c r="J98" s="98"/>
      <c r="K98" s="98"/>
      <c r="L98" s="98"/>
      <c r="M98" s="98">
        <v>5.4182653202055151E-3</v>
      </c>
      <c r="O98" s="92">
        <v>2480382</v>
      </c>
    </row>
    <row r="99" spans="1:15" s="92" customFormat="1" hidden="1">
      <c r="B99" s="92">
        <v>8</v>
      </c>
      <c r="C99" s="92" t="s">
        <v>243</v>
      </c>
      <c r="D99" s="98"/>
      <c r="E99" s="98">
        <v>1.0185477174296147E-2</v>
      </c>
      <c r="F99" s="98">
        <v>1.533402192904279E-2</v>
      </c>
      <c r="G99" s="98"/>
      <c r="H99" s="98"/>
      <c r="I99" s="98"/>
      <c r="J99" s="98"/>
      <c r="K99" s="98">
        <v>9.138369465403395E-3</v>
      </c>
      <c r="L99" s="98"/>
      <c r="M99" s="98"/>
      <c r="O99" s="92">
        <v>7434864</v>
      </c>
    </row>
    <row r="100" spans="1:15" s="92" customFormat="1" hidden="1">
      <c r="B100" s="92">
        <v>9</v>
      </c>
      <c r="C100" s="92" t="s">
        <v>297</v>
      </c>
      <c r="D100" s="98"/>
      <c r="E100" s="98"/>
      <c r="F100" s="98"/>
      <c r="G100" s="98"/>
      <c r="H100" s="98"/>
      <c r="I100" s="98"/>
      <c r="J100" s="98">
        <v>1.2449452022894953E-2</v>
      </c>
      <c r="K100" s="98"/>
      <c r="L100" s="98"/>
      <c r="M100" s="98"/>
      <c r="O100" s="92">
        <v>8497745</v>
      </c>
    </row>
    <row r="101" spans="1:15" s="92" customFormat="1" hidden="1">
      <c r="B101" s="92">
        <v>10</v>
      </c>
      <c r="C101" s="92" t="s">
        <v>173</v>
      </c>
      <c r="D101" s="98"/>
      <c r="E101" s="98"/>
      <c r="F101" s="98"/>
      <c r="G101" s="98"/>
      <c r="H101" s="98"/>
      <c r="I101" s="98">
        <v>6.6140044958555161E-3</v>
      </c>
      <c r="J101" s="98"/>
      <c r="K101" s="98"/>
      <c r="L101" s="98"/>
      <c r="M101" s="98"/>
      <c r="O101" s="92">
        <v>14393110</v>
      </c>
    </row>
    <row r="102" spans="1:15" s="92" customFormat="1" hidden="1">
      <c r="B102" s="92">
        <v>11</v>
      </c>
      <c r="C102" s="92" t="s">
        <v>244</v>
      </c>
      <c r="D102" s="98"/>
      <c r="E102" s="98">
        <v>5.3794633634969306E-3</v>
      </c>
      <c r="F102" s="98">
        <v>6.2204424265200594E-3</v>
      </c>
      <c r="G102" s="98"/>
      <c r="H102" s="98">
        <v>3.8797037336966785E-3</v>
      </c>
      <c r="I102" s="98"/>
      <c r="J102" s="98"/>
      <c r="K102" s="98"/>
      <c r="L102" s="98"/>
      <c r="M102" s="98"/>
      <c r="O102" s="92">
        <v>2887140</v>
      </c>
    </row>
    <row r="103" spans="1:15" s="92" customFormat="1" hidden="1">
      <c r="B103" s="92">
        <v>12</v>
      </c>
      <c r="C103" s="92" t="s">
        <v>241</v>
      </c>
      <c r="D103" s="98"/>
      <c r="E103" s="98"/>
      <c r="F103" s="98"/>
      <c r="G103" s="98">
        <v>3.8377268953566661E-3</v>
      </c>
      <c r="H103" s="98"/>
      <c r="I103" s="98"/>
      <c r="J103" s="98"/>
      <c r="K103" s="98"/>
      <c r="L103" s="98"/>
      <c r="M103" s="98"/>
      <c r="O103" s="92">
        <v>15057844</v>
      </c>
    </row>
    <row r="104" spans="1:15" s="92" customFormat="1" hidden="1">
      <c r="B104" s="92">
        <v>13</v>
      </c>
      <c r="C104" s="92" t="s">
        <v>169</v>
      </c>
      <c r="D104" s="98">
        <v>4.6822239088286366E-3</v>
      </c>
      <c r="E104" s="98"/>
      <c r="F104" s="98"/>
      <c r="G104" s="98"/>
      <c r="H104" s="98"/>
      <c r="I104" s="98"/>
      <c r="J104" s="98"/>
      <c r="K104" s="98"/>
      <c r="L104" s="98"/>
      <c r="M104" s="98"/>
      <c r="O104" s="92">
        <v>10603512</v>
      </c>
    </row>
    <row r="105" spans="1:15" s="92" customFormat="1" hidden="1">
      <c r="B105" s="92">
        <v>14</v>
      </c>
      <c r="C105" s="92" t="s">
        <v>286</v>
      </c>
      <c r="D105" s="98">
        <v>4.2477827740144813E-3</v>
      </c>
      <c r="E105" s="98"/>
      <c r="F105" s="98"/>
      <c r="G105" s="98"/>
      <c r="H105" s="98"/>
      <c r="I105" s="98"/>
      <c r="J105" s="98"/>
      <c r="K105" s="98"/>
      <c r="L105" s="98"/>
      <c r="M105" s="98"/>
      <c r="O105" s="92">
        <v>10931653</v>
      </c>
    </row>
    <row r="106" spans="1:15" s="92" customFormat="1" hidden="1">
      <c r="B106" s="92">
        <v>15</v>
      </c>
      <c r="C106" s="92" t="s">
        <v>245</v>
      </c>
      <c r="D106" s="98">
        <v>2.5194143740326035E-2</v>
      </c>
      <c r="E106" s="98">
        <v>2.4801439316695324E-2</v>
      </c>
      <c r="F106" s="98">
        <v>3.294769020062658E-2</v>
      </c>
      <c r="G106" s="98">
        <v>1.4663938980731834E-2</v>
      </c>
      <c r="H106" s="98">
        <v>1.4017649462560849E-2</v>
      </c>
      <c r="I106" s="98">
        <v>2.2011424104737588E-2</v>
      </c>
      <c r="J106" s="98">
        <v>3.6006526319492971E-2</v>
      </c>
      <c r="K106" s="98">
        <v>2.9699904238385859E-2</v>
      </c>
      <c r="L106" s="98">
        <v>4.2328008380337991E-2</v>
      </c>
      <c r="M106" s="98">
        <v>3.3599076858885975E-2</v>
      </c>
      <c r="O106" s="92">
        <v>5920853</v>
      </c>
    </row>
    <row r="107" spans="1:15" s="92" customFormat="1" hidden="1">
      <c r="B107" s="92">
        <v>16</v>
      </c>
      <c r="D107" s="98"/>
      <c r="E107" s="98"/>
      <c r="F107" s="98"/>
      <c r="G107" s="98"/>
      <c r="H107" s="98"/>
      <c r="I107" s="98"/>
      <c r="J107" s="98"/>
      <c r="K107" s="98"/>
      <c r="L107" s="98"/>
      <c r="M107" s="98"/>
      <c r="O107" s="92">
        <v>5920853</v>
      </c>
    </row>
    <row r="108" spans="1:15" s="92" customFormat="1" hidden="1">
      <c r="B108" s="92">
        <v>17</v>
      </c>
      <c r="D108" s="98"/>
      <c r="E108" s="98"/>
      <c r="F108" s="98"/>
      <c r="G108" s="98"/>
      <c r="H108" s="98"/>
      <c r="I108" s="98"/>
      <c r="J108" s="98"/>
      <c r="K108" s="98"/>
      <c r="L108" s="98"/>
      <c r="M108" s="98"/>
      <c r="O108" s="92">
        <v>0</v>
      </c>
    </row>
    <row r="109" spans="1:15" s="92" customFormat="1" hidden="1">
      <c r="B109" s="92">
        <v>18</v>
      </c>
      <c r="D109" s="98"/>
      <c r="E109" s="98"/>
      <c r="F109" s="98"/>
      <c r="G109" s="98"/>
      <c r="H109" s="98"/>
      <c r="I109" s="98"/>
      <c r="J109" s="98"/>
      <c r="K109" s="98"/>
      <c r="L109" s="98"/>
      <c r="M109" s="98"/>
      <c r="O109" s="92">
        <v>0</v>
      </c>
    </row>
    <row r="110" spans="1:15" s="92" customFormat="1" hidden="1">
      <c r="B110" s="92">
        <v>19</v>
      </c>
      <c r="D110" s="98"/>
      <c r="E110" s="98"/>
      <c r="F110" s="98"/>
      <c r="G110" s="98"/>
      <c r="H110" s="98"/>
      <c r="I110" s="98"/>
      <c r="J110" s="98"/>
      <c r="K110" s="98"/>
      <c r="L110" s="98"/>
      <c r="M110" s="98"/>
      <c r="O110" s="92">
        <v>0</v>
      </c>
    </row>
    <row r="111" spans="1:15" s="92" customFormat="1" hidden="1">
      <c r="A111" s="92">
        <v>16</v>
      </c>
      <c r="B111" s="92">
        <v>20</v>
      </c>
      <c r="D111" s="98"/>
      <c r="E111" s="98"/>
      <c r="F111" s="98"/>
      <c r="G111" s="98"/>
      <c r="H111" s="98"/>
      <c r="I111" s="98"/>
      <c r="J111" s="98"/>
      <c r="K111" s="98"/>
      <c r="L111" s="98"/>
      <c r="M111" s="98"/>
      <c r="O111" s="92">
        <v>0</v>
      </c>
    </row>
    <row r="112" spans="1:15" s="92" customFormat="1" hidden="1">
      <c r="A112" s="92" t="s">
        <v>246</v>
      </c>
      <c r="C112" s="99" t="s">
        <v>178</v>
      </c>
      <c r="D112" s="100">
        <v>1</v>
      </c>
      <c r="E112" s="100">
        <v>1</v>
      </c>
      <c r="F112" s="100">
        <v>1</v>
      </c>
      <c r="G112" s="100">
        <v>1</v>
      </c>
      <c r="H112" s="100">
        <v>1</v>
      </c>
      <c r="I112" s="100">
        <v>1</v>
      </c>
      <c r="J112" s="100">
        <v>1</v>
      </c>
      <c r="K112" s="100">
        <v>1</v>
      </c>
      <c r="L112" s="100">
        <v>1</v>
      </c>
      <c r="M112" s="100">
        <v>1</v>
      </c>
      <c r="N112" s="100">
        <v>1</v>
      </c>
      <c r="O112" s="100"/>
    </row>
    <row r="113" spans="1:15" s="92" customFormat="1" hidden="1">
      <c r="A113" s="92" t="s">
        <v>247</v>
      </c>
      <c r="C113" s="99" t="s">
        <v>248</v>
      </c>
      <c r="D113" s="100">
        <v>0.80295146033618015</v>
      </c>
      <c r="E113" s="100">
        <v>0.81957256872909978</v>
      </c>
      <c r="F113" s="100">
        <v>0.83309550361579199</v>
      </c>
      <c r="G113" s="100">
        <v>0.8479245906220485</v>
      </c>
      <c r="H113" s="100">
        <v>0.86267848191960095</v>
      </c>
      <c r="I113" s="100">
        <v>0.86837211648078239</v>
      </c>
      <c r="J113" s="100">
        <v>0.88704217537863717</v>
      </c>
      <c r="K113" s="100">
        <v>0.90425079361051031</v>
      </c>
      <c r="L113" s="100">
        <v>0.92459648959268925</v>
      </c>
      <c r="M113" s="100">
        <v>0.94419794544668012</v>
      </c>
      <c r="N113" s="100">
        <v>1</v>
      </c>
      <c r="O113" s="100"/>
    </row>
    <row r="114" spans="1:15" s="97" customFormat="1">
      <c r="B114" s="97" t="str">
        <f ca="1">"All values are "&amp;OFFSET($A$111,MATCH($N$1,$C$112:$C$113,0),0)</f>
        <v>All values are adjusted to 2019 prices</v>
      </c>
      <c r="F114" s="97" t="str">
        <f ca="1">S89&amp;". "&amp;B160&amp;""</f>
        <v>All values are adjusted to 2019 prices. Quartiles are based on operating profit margin.</v>
      </c>
    </row>
    <row r="115" spans="1:15" s="102" customFormat="1" ht="34.5" customHeight="1">
      <c r="A115" s="101" t="s">
        <v>49</v>
      </c>
    </row>
    <row r="116" spans="1:15" s="103" customFormat="1" ht="15" customHeight="1"/>
    <row r="117" spans="1:15" s="103" customFormat="1"/>
    <row r="118" spans="1:15" ht="18" customHeight="1" thickBot="1">
      <c r="A118" s="206"/>
      <c r="B118" s="206"/>
      <c r="C118" s="206"/>
      <c r="D118" s="206"/>
      <c r="E118" s="206"/>
      <c r="F118" s="206"/>
      <c r="G118" s="206"/>
      <c r="H118" s="206"/>
      <c r="I118" s="206"/>
      <c r="J118" s="206"/>
      <c r="K118" s="206"/>
      <c r="L118" s="206"/>
      <c r="M118" s="206"/>
      <c r="N118" s="206"/>
      <c r="O118" s="206"/>
    </row>
    <row r="119" spans="1:15" ht="39" thickBot="1">
      <c r="A119" s="205"/>
      <c r="B119" s="22" t="s">
        <v>180</v>
      </c>
      <c r="C119" s="52" t="s">
        <v>249</v>
      </c>
      <c r="D119" s="52" t="s">
        <v>250</v>
      </c>
      <c r="E119" s="52" t="s">
        <v>251</v>
      </c>
      <c r="F119" s="53" t="s">
        <v>252</v>
      </c>
      <c r="G119" s="206"/>
      <c r="H119" s="206"/>
      <c r="I119" s="206"/>
      <c r="J119" s="206"/>
      <c r="K119" s="206"/>
      <c r="L119" s="206"/>
      <c r="M119" s="206"/>
      <c r="N119" s="206"/>
      <c r="O119" s="206"/>
    </row>
    <row r="120" spans="1:15" s="54" customFormat="1" ht="18" customHeight="1">
      <c r="B120" s="54" t="s">
        <v>183</v>
      </c>
      <c r="C120" s="54">
        <v>9</v>
      </c>
      <c r="D120" s="54">
        <v>18</v>
      </c>
      <c r="E120" s="54">
        <v>9</v>
      </c>
      <c r="F120" s="55">
        <v>36</v>
      </c>
    </row>
    <row r="121" spans="1:15" ht="18" customHeight="1">
      <c r="A121" s="173" t="s">
        <v>191</v>
      </c>
      <c r="B121" s="33" t="s">
        <v>192</v>
      </c>
      <c r="C121" s="56">
        <v>14.577777862548828</v>
      </c>
      <c r="D121" s="56">
        <v>14.891666412353516</v>
      </c>
      <c r="E121" s="56">
        <v>16.610000610351563</v>
      </c>
      <c r="F121" s="57">
        <v>15.242777824401855</v>
      </c>
      <c r="G121" s="206"/>
      <c r="H121" s="206"/>
      <c r="I121" s="206"/>
      <c r="J121" s="206"/>
      <c r="K121" s="206"/>
      <c r="L121" s="206"/>
      <c r="M121" s="206"/>
      <c r="N121" s="206"/>
      <c r="O121" s="206"/>
    </row>
    <row r="122" spans="1:15" ht="18" customHeight="1">
      <c r="A122" s="174"/>
      <c r="B122" s="35" t="s">
        <v>184</v>
      </c>
      <c r="C122" s="58">
        <v>186.88888549804688</v>
      </c>
      <c r="D122" s="58">
        <v>168.27777099609375</v>
      </c>
      <c r="E122" s="58">
        <v>202.88888549804688</v>
      </c>
      <c r="F122" s="59">
        <v>181.58332824707031</v>
      </c>
      <c r="G122" s="206"/>
      <c r="H122" s="206"/>
      <c r="I122" s="206"/>
      <c r="J122" s="206"/>
      <c r="K122" s="206"/>
      <c r="L122" s="206"/>
      <c r="M122" s="206"/>
      <c r="N122" s="206"/>
      <c r="O122" s="206"/>
    </row>
    <row r="123" spans="1:15" ht="18" customHeight="1">
      <c r="A123" s="174"/>
      <c r="B123" s="35" t="s">
        <v>185</v>
      </c>
      <c r="C123" s="58">
        <v>47.111110687255859</v>
      </c>
      <c r="D123" s="58">
        <v>37.388889312744141</v>
      </c>
      <c r="E123" s="58">
        <v>49.555557250976563</v>
      </c>
      <c r="F123" s="59">
        <v>42.861110687255859</v>
      </c>
      <c r="G123" s="206"/>
      <c r="H123" s="206"/>
      <c r="I123" s="206"/>
      <c r="J123" s="206"/>
      <c r="K123" s="206"/>
      <c r="L123" s="206"/>
      <c r="M123" s="206"/>
      <c r="N123" s="206"/>
      <c r="O123" s="206"/>
    </row>
    <row r="124" spans="1:15" ht="18" customHeight="1">
      <c r="A124" s="174"/>
      <c r="B124" s="35" t="s">
        <v>186</v>
      </c>
      <c r="C124" s="58">
        <v>162.87840270996094</v>
      </c>
      <c r="D124" s="58">
        <v>154.09590148925781</v>
      </c>
      <c r="E124" s="58">
        <v>184.01004028320313</v>
      </c>
      <c r="F124" s="59">
        <v>163.77006530761719</v>
      </c>
      <c r="G124" s="206"/>
      <c r="H124" s="206"/>
      <c r="I124" s="206"/>
      <c r="J124" s="206"/>
      <c r="K124" s="206"/>
      <c r="L124" s="206"/>
      <c r="M124" s="206"/>
      <c r="N124" s="206"/>
      <c r="O124" s="206"/>
    </row>
    <row r="125" spans="1:15" ht="18" customHeight="1">
      <c r="A125" s="174"/>
      <c r="B125" s="35" t="s">
        <v>187</v>
      </c>
      <c r="C125" s="31">
        <v>111.41704559326172</v>
      </c>
      <c r="D125" s="31">
        <v>71.502927780151367</v>
      </c>
      <c r="E125" s="31">
        <v>60.160167694091797</v>
      </c>
      <c r="F125" s="60">
        <v>78.645767211914063</v>
      </c>
      <c r="G125" s="206"/>
      <c r="H125" s="206"/>
      <c r="I125" s="206"/>
      <c r="J125" s="206"/>
      <c r="K125" s="206"/>
      <c r="L125" s="206"/>
      <c r="M125" s="206"/>
      <c r="N125" s="206"/>
      <c r="O125" s="206"/>
    </row>
    <row r="126" spans="1:15" ht="18" customHeight="1">
      <c r="A126" s="174"/>
      <c r="B126" s="35" t="s">
        <v>193</v>
      </c>
      <c r="C126" s="31">
        <f ca="1">259.093359375*OFFSET($L$112,MATCH($N$1,$C$112:$C$113,0)-1,0)</f>
        <v>259.09335937499998</v>
      </c>
      <c r="D126" s="31">
        <f ca="1">169.636234375*OFFSET($L$112,MATCH($N$1,$C$112:$C$113,0)-1,0)</f>
        <v>169.63623437499999</v>
      </c>
      <c r="E126" s="31">
        <f ca="1">147.165828125*OFFSET($L$112,MATCH($N$1,$C$112:$C$113,0)-1,0)</f>
        <v>147.16582812499999</v>
      </c>
      <c r="F126" s="60">
        <f ca="1">186.382921875*OFFSET($L$112,MATCH($N$1,$C$112:$C$113,0)-1,0)</f>
        <v>186.38292187499999</v>
      </c>
      <c r="G126" s="206"/>
      <c r="H126" s="206"/>
      <c r="I126" s="206"/>
      <c r="J126" s="206"/>
      <c r="K126" s="206"/>
      <c r="L126" s="206"/>
      <c r="M126" s="206"/>
      <c r="N126" s="206"/>
      <c r="O126" s="206"/>
    </row>
    <row r="127" spans="1:15" ht="18" customHeight="1">
      <c r="A127" s="174"/>
      <c r="B127" s="35" t="s">
        <v>189</v>
      </c>
      <c r="C127" s="58">
        <v>121.88888549804688</v>
      </c>
      <c r="D127" s="58">
        <v>126.72222137451172</v>
      </c>
      <c r="E127" s="58">
        <v>121.44444274902344</v>
      </c>
      <c r="F127" s="59">
        <v>124.19444274902344</v>
      </c>
      <c r="G127" s="206"/>
      <c r="H127" s="206"/>
      <c r="I127" s="206"/>
      <c r="J127" s="206"/>
      <c r="K127" s="206"/>
      <c r="L127" s="206"/>
      <c r="M127" s="206"/>
      <c r="N127" s="206"/>
      <c r="O127" s="206"/>
    </row>
    <row r="128" spans="1:15" ht="18" customHeight="1">
      <c r="A128" s="174"/>
      <c r="B128" s="35" t="s">
        <v>194</v>
      </c>
      <c r="C128" s="58">
        <v>30.55555534362793</v>
      </c>
      <c r="D128" s="58">
        <v>43.111110687255859</v>
      </c>
      <c r="E128" s="58">
        <v>43.444442749023438</v>
      </c>
      <c r="F128" s="59">
        <v>40.055557250976563</v>
      </c>
      <c r="G128" s="206"/>
      <c r="H128" s="206"/>
      <c r="I128" s="206"/>
      <c r="J128" s="206"/>
      <c r="K128" s="206"/>
      <c r="L128" s="206"/>
      <c r="M128" s="206"/>
      <c r="N128" s="206"/>
      <c r="O128" s="206"/>
    </row>
    <row r="129" spans="1:15" ht="18" customHeight="1">
      <c r="A129" s="174"/>
      <c r="B129" s="35" t="s">
        <v>195</v>
      </c>
      <c r="C129" s="61">
        <v>0.91408699750900269</v>
      </c>
      <c r="D129" s="61">
        <v>0.56424932426676289</v>
      </c>
      <c r="E129" s="61">
        <v>0.49537193775177002</v>
      </c>
      <c r="F129" s="62">
        <v>0.63324707746505737</v>
      </c>
      <c r="G129" s="206"/>
      <c r="H129" s="206"/>
      <c r="I129" s="206"/>
      <c r="J129" s="206"/>
      <c r="K129" s="206"/>
      <c r="L129" s="206"/>
      <c r="M129" s="206"/>
      <c r="N129" s="206"/>
      <c r="O129" s="206"/>
    </row>
    <row r="130" spans="1:15" ht="18" customHeight="1">
      <c r="A130" s="175"/>
      <c r="B130" s="37" t="s">
        <v>196</v>
      </c>
      <c r="C130" s="38">
        <f ca="1">2325.43735112888*OFFSET($L$112,MATCH($N$1,$C$112:$C$113,0)-1,0)</f>
        <v>2325.43735112888</v>
      </c>
      <c r="D130" s="38">
        <f ca="1">2372.43759998999*OFFSET($L$112,MATCH($N$1,$C$112:$C$113,0)-1,0)</f>
        <v>2372.4375999899898</v>
      </c>
      <c r="E130" s="38">
        <f ca="1">2446.23367530029*OFFSET($L$112,MATCH($N$1,$C$112:$C$113,0)-1,0)</f>
        <v>2446.2336753002901</v>
      </c>
      <c r="F130" s="63">
        <f ca="1">2370*OFFSET($L$112,MATCH($N$1,$C$112:$C$113,0)-1,0)</f>
        <v>2370</v>
      </c>
      <c r="G130" s="206"/>
      <c r="H130" s="206"/>
      <c r="I130" s="206"/>
      <c r="J130" s="206"/>
      <c r="K130" s="206"/>
      <c r="L130" s="206"/>
      <c r="M130" s="206"/>
      <c r="N130" s="206"/>
      <c r="O130" s="206"/>
    </row>
    <row r="131" spans="1:15" ht="18" customHeight="1">
      <c r="A131" s="184" t="s">
        <v>197</v>
      </c>
      <c r="B131" s="33" t="s">
        <v>198</v>
      </c>
      <c r="C131" s="64">
        <v>4.9090086160716595</v>
      </c>
      <c r="D131" s="64">
        <v>3.22761314375387</v>
      </c>
      <c r="E131" s="64">
        <v>2.3419256278232905</v>
      </c>
      <c r="F131" s="65">
        <v>3.3938615118334048</v>
      </c>
      <c r="G131" s="206"/>
      <c r="H131" s="206"/>
      <c r="I131" s="206"/>
      <c r="J131" s="206"/>
      <c r="K131" s="206"/>
      <c r="L131" s="206"/>
      <c r="M131" s="206"/>
      <c r="N131" s="206"/>
      <c r="O131" s="206"/>
    </row>
    <row r="132" spans="1:15" ht="18" customHeight="1">
      <c r="A132" s="185"/>
      <c r="B132" s="35" t="s">
        <v>199</v>
      </c>
      <c r="C132" s="61">
        <f ca="1">11.4155919928265*OFFSET($L$112,MATCH($N$1,$C$112:$C$113,0)-1,0)</f>
        <v>11.415591992826499</v>
      </c>
      <c r="D132" s="61">
        <f ca="1">7.65731078046358*OFFSET($L$112,MATCH($N$1,$C$112:$C$113,0)-1,0)</f>
        <v>7.6573107804635798</v>
      </c>
      <c r="E132" s="61">
        <f ca="1">5.72889733583011*OFFSET($L$112,MATCH($N$1,$C$112:$C$113,0)-1,0)</f>
        <v>5.7288973358301103</v>
      </c>
      <c r="F132" s="62">
        <f ca="1">8.04312612667587*OFFSET($L$112,MATCH($N$1,$C$112:$C$113,0)-1,0)</f>
        <v>8.0431261266758707</v>
      </c>
      <c r="G132" s="206"/>
      <c r="H132" s="206"/>
      <c r="I132" s="206"/>
      <c r="J132" s="206"/>
      <c r="K132" s="206"/>
      <c r="L132" s="206"/>
      <c r="M132" s="206"/>
      <c r="N132" s="206"/>
      <c r="O132" s="206"/>
    </row>
    <row r="133" spans="1:15" ht="18" customHeight="1">
      <c r="A133" s="185"/>
      <c r="B133" s="35" t="s">
        <v>154</v>
      </c>
      <c r="C133" s="61">
        <f ca="1">8.86765531496707*OFFSET($L$112,MATCH($N$1,$C$112:$C$113,0)-1,0)</f>
        <v>8.8676553149670703</v>
      </c>
      <c r="D133" s="61">
        <f ca="1">6.38927821788882*OFFSET($L$112,MATCH($N$1,$C$112:$C$113,0)-1,0)</f>
        <v>6.3892782178888199</v>
      </c>
      <c r="E133" s="61">
        <f ca="1">5.13503454533524*OFFSET($L$112,MATCH($N$1,$C$112:$C$113,0)-1,0)</f>
        <v>5.1350345453352402</v>
      </c>
      <c r="F133" s="62">
        <f ca="1">6.64853452487191*OFFSET($L$112,MATCH($N$1,$C$112:$C$113,0)-1,0)</f>
        <v>6.6485345248719101</v>
      </c>
      <c r="G133" s="206"/>
      <c r="H133" s="206"/>
      <c r="I133" s="206"/>
      <c r="J133" s="206"/>
      <c r="K133" s="206"/>
      <c r="L133" s="206"/>
      <c r="M133" s="206"/>
      <c r="N133" s="206"/>
      <c r="O133" s="206"/>
    </row>
    <row r="134" spans="1:15" ht="18" customHeight="1">
      <c r="A134" s="186"/>
      <c r="B134" s="37" t="s">
        <v>155</v>
      </c>
      <c r="C134" s="66">
        <f ca="1">2.54793667785945*OFFSET($L$112,MATCH($N$1,$C$112:$C$113,0)-1,0)</f>
        <v>2.5479366778594499</v>
      </c>
      <c r="D134" s="66">
        <f ca="1">1.26803256257476*OFFSET($L$112,MATCH($N$1,$C$112:$C$113,0)-1,0)</f>
        <v>1.2680325625747599</v>
      </c>
      <c r="E134" s="66">
        <f ca="1">0.593862790494865*OFFSET($L$112,MATCH($N$1,$C$112:$C$113,0)-1,0)</f>
        <v>0.59386279049486501</v>
      </c>
      <c r="F134" s="67">
        <f ca="1">1.39459160180396*OFFSET($L$112,MATCH($N$1,$C$112:$C$113,0)-1,0)</f>
        <v>1.3945916018039599</v>
      </c>
      <c r="G134" s="206"/>
      <c r="H134" s="206"/>
      <c r="I134" s="206"/>
      <c r="J134" s="206"/>
      <c r="K134" s="206"/>
      <c r="L134" s="206"/>
      <c r="M134" s="206"/>
      <c r="N134" s="206"/>
      <c r="O134" s="206"/>
    </row>
    <row r="135" spans="1:15" ht="18" customHeight="1">
      <c r="A135" s="187" t="s">
        <v>254</v>
      </c>
      <c r="B135" s="35" t="s">
        <v>255</v>
      </c>
      <c r="C135" s="68">
        <f ca="1">20.545298828125*OFFSET($L$112,MATCH($N$1,$C$112:$C$113,0)-1,0)</f>
        <v>20.545298828124999</v>
      </c>
      <c r="D135" s="68">
        <f ca="1">23.2227260742188*OFFSET($L$112,MATCH($N$1,$C$112:$C$113,0)-1,0)</f>
        <v>23.222726074218802</v>
      </c>
      <c r="E135" s="68">
        <f ca="1">29.26155859375*OFFSET($L$112,MATCH($N$1,$C$112:$C$113,0)-1,0)</f>
        <v>29.261558593749999</v>
      </c>
      <c r="F135" s="69">
        <f ca="1">24.063078125*OFFSET($L$112,MATCH($N$1,$C$112:$C$113,0)-1,0)</f>
        <v>24.063078125000001</v>
      </c>
      <c r="G135" s="206"/>
      <c r="H135" s="206"/>
      <c r="I135" s="206"/>
      <c r="J135" s="206"/>
      <c r="K135" s="206"/>
      <c r="L135" s="206"/>
      <c r="M135" s="206"/>
      <c r="N135" s="206"/>
      <c r="O135" s="206"/>
    </row>
    <row r="136" spans="1:15" ht="18" customHeight="1">
      <c r="A136" s="188"/>
      <c r="B136" s="35" t="s">
        <v>256</v>
      </c>
      <c r="C136" s="30">
        <v>39002.222666484304</v>
      </c>
      <c r="D136" s="30">
        <v>44083.332299170084</v>
      </c>
      <c r="E136" s="30">
        <v>55601.111433526501</v>
      </c>
      <c r="F136" s="70">
        <v>45692.5</v>
      </c>
      <c r="G136" s="206"/>
      <c r="H136" s="206"/>
      <c r="I136" s="206"/>
      <c r="J136" s="206"/>
      <c r="K136" s="206"/>
      <c r="L136" s="206"/>
      <c r="M136" s="206"/>
      <c r="N136" s="206"/>
      <c r="O136" s="206"/>
    </row>
    <row r="137" spans="1:15" ht="18" customHeight="1">
      <c r="A137" s="188"/>
      <c r="B137" s="35" t="s">
        <v>257</v>
      </c>
      <c r="C137" s="30">
        <v>319.98178100585938</v>
      </c>
      <c r="D137" s="30">
        <v>347.87373375414006</v>
      </c>
      <c r="E137" s="30">
        <v>457.8316650390625</v>
      </c>
      <c r="F137" s="70">
        <v>367.91098022460938</v>
      </c>
      <c r="G137" s="206"/>
      <c r="H137" s="206"/>
      <c r="I137" s="206"/>
      <c r="J137" s="206"/>
      <c r="K137" s="206"/>
      <c r="L137" s="206"/>
      <c r="M137" s="206"/>
      <c r="N137" s="206"/>
      <c r="O137" s="206"/>
    </row>
    <row r="138" spans="1:15" ht="18" customHeight="1">
      <c r="A138" s="188"/>
      <c r="B138" s="35" t="s">
        <v>258</v>
      </c>
      <c r="C138" s="30">
        <f ca="1">168.557606743022*OFFSET($L$112,MATCH($N$1,$C$112:$C$113,0)-1,0)</f>
        <v>168.55760674302201</v>
      </c>
      <c r="D138" s="30">
        <f ca="1">183.256936489354*OFFSET($L$112,MATCH($N$1,$C$112:$C$113,0)-1,0)</f>
        <v>183.25693648935399</v>
      </c>
      <c r="E138" s="30">
        <f ca="1">240.946048508961*OFFSET($L$112,MATCH($N$1,$C$112:$C$113,0)-1,0)</f>
        <v>240.94604850896101</v>
      </c>
      <c r="F138" s="70">
        <f ca="1">193.753259746312*OFFSET($L$112,MATCH($N$1,$C$112:$C$113,0)-1,0)</f>
        <v>193.75325974631201</v>
      </c>
      <c r="G138" s="206"/>
      <c r="H138" s="206"/>
      <c r="I138" s="46"/>
      <c r="J138" s="206"/>
      <c r="K138" s="206"/>
      <c r="L138" s="71" t="str">
        <f>C119</f>
        <v>Most
profitable
quartile</v>
      </c>
      <c r="M138" s="71" t="str">
        <f>D119</f>
        <v>Middle
two quartiles</v>
      </c>
      <c r="N138" s="71" t="str">
        <f>E119</f>
        <v>Least
profitable
quartile</v>
      </c>
      <c r="O138" s="71"/>
    </row>
    <row r="139" spans="1:15" ht="18" customHeight="1">
      <c r="A139" s="188"/>
      <c r="B139" s="35" t="s">
        <v>259</v>
      </c>
      <c r="C139" s="30">
        <f ca="1">184.399960694771*OFFSET($L$112,MATCH($N$1,$C$112:$C$113,0)-1,0)</f>
        <v>184.39996069477101</v>
      </c>
      <c r="D139" s="30">
        <f ca="1">324.78007258138*OFFSET($L$112,MATCH($N$1,$C$112:$C$113,0)-1,0)</f>
        <v>324.78007258138001</v>
      </c>
      <c r="E139" s="30">
        <f ca="1">486.394232518466*OFFSET($L$112,MATCH($N$1,$C$112:$C$113,0)-1,0)</f>
        <v>486.39423251846603</v>
      </c>
      <c r="F139" s="70">
        <f ca="1">305.967873136276*OFFSET($L$112,MATCH($N$1,$C$112:$C$113,0)-1,0)</f>
        <v>305.96787313627601</v>
      </c>
      <c r="G139" s="206"/>
      <c r="H139" s="206"/>
      <c r="I139" s="46"/>
      <c r="J139" s="206"/>
      <c r="K139" s="71" t="s">
        <v>260</v>
      </c>
      <c r="L139" s="72">
        <f t="shared" ref="L139:M141" ca="1" si="2">C140</f>
        <v>260.96368749999999</v>
      </c>
      <c r="M139" s="72">
        <f t="shared" ca="1" si="2"/>
        <v>170.86079687500001</v>
      </c>
      <c r="N139" s="72">
        <f ca="1">E140</f>
        <v>148.22817187499999</v>
      </c>
      <c r="O139" s="72"/>
    </row>
    <row r="140" spans="1:15" ht="18" customHeight="1">
      <c r="A140" s="166" t="s">
        <v>261</v>
      </c>
      <c r="B140" s="33" t="s">
        <v>262</v>
      </c>
      <c r="C140" s="73">
        <f ca="1">260.9636875*OFFSET($L$112,MATCH($N$1,$C$112:$C$113,0)-1,0)</f>
        <v>260.96368749999999</v>
      </c>
      <c r="D140" s="73">
        <f ca="1">170.860796875*OFFSET($L$112,MATCH($N$1,$C$112:$C$113,0)-1,0)</f>
        <v>170.86079687500001</v>
      </c>
      <c r="E140" s="73">
        <f ca="1">148.228171875*OFFSET($L$112,MATCH($N$1,$C$112:$C$113,0)-1,0)</f>
        <v>148.22817187499999</v>
      </c>
      <c r="F140" s="74">
        <f ca="1">187.728375*OFFSET($L$112,MATCH($N$1,$C$112:$C$113,0)-1,0)</f>
        <v>187.728375</v>
      </c>
      <c r="G140" s="206"/>
      <c r="H140" s="206"/>
      <c r="I140" s="46"/>
      <c r="J140" s="206"/>
      <c r="K140" s="71" t="s">
        <v>263</v>
      </c>
      <c r="L140" s="72">
        <f t="shared" ca="1" si="2"/>
        <v>203.13459374999999</v>
      </c>
      <c r="M140" s="72">
        <f t="shared" ca="1" si="2"/>
        <v>142.76943750000001</v>
      </c>
      <c r="N140" s="72">
        <f ca="1">E141</f>
        <v>132.97282812500001</v>
      </c>
      <c r="O140" s="72"/>
    </row>
    <row r="141" spans="1:15" ht="18" customHeight="1">
      <c r="A141" s="167"/>
      <c r="B141" s="35" t="s">
        <v>264</v>
      </c>
      <c r="C141" s="30">
        <f ca="1">203.13459375*OFFSET($L$112,MATCH($N$1,$C$112:$C$113,0)-1,0)</f>
        <v>203.13459374999999</v>
      </c>
      <c r="D141" s="30">
        <f ca="1">142.7694375*OFFSET($L$112,MATCH($N$1,$C$112:$C$113,0)-1,0)</f>
        <v>142.76943750000001</v>
      </c>
      <c r="E141" s="30">
        <f ca="1">132.972828125*OFFSET($L$112,MATCH($N$1,$C$112:$C$113,0)-1,0)</f>
        <v>132.97282812500001</v>
      </c>
      <c r="F141" s="70">
        <f ca="1">155.411578125*OFFSET($L$112,MATCH($N$1,$C$112:$C$113,0)-1,0)</f>
        <v>155.41157812500001</v>
      </c>
      <c r="G141" s="206"/>
      <c r="H141" s="206"/>
      <c r="I141" s="46"/>
      <c r="J141" s="206"/>
      <c r="K141" s="71" t="s">
        <v>265</v>
      </c>
      <c r="L141" s="72">
        <f t="shared" ca="1" si="2"/>
        <v>57.829093749999998</v>
      </c>
      <c r="M141" s="72">
        <f t="shared" ca="1" si="2"/>
        <v>28.091359375</v>
      </c>
      <c r="N141" s="72">
        <f ca="1">E142</f>
        <v>15.25534375</v>
      </c>
      <c r="O141" s="72"/>
    </row>
    <row r="142" spans="1:15" ht="18" customHeight="1">
      <c r="A142" s="168"/>
      <c r="B142" s="37" t="s">
        <v>266</v>
      </c>
      <c r="C142" s="38">
        <f ca="1">57.82909375*OFFSET($L$112,MATCH($N$1,$C$112:$C$113,0)-1,0)</f>
        <v>57.829093749999998</v>
      </c>
      <c r="D142" s="38">
        <f ca="1">28.091359375*OFFSET($L$112,MATCH($N$1,$C$112:$C$113,0)-1,0)</f>
        <v>28.091359375</v>
      </c>
      <c r="E142" s="38">
        <f ca="1">15.25534375*OFFSET($L$112,MATCH($N$1,$C$112:$C$113,0)-1,0)</f>
        <v>15.25534375</v>
      </c>
      <c r="F142" s="63">
        <f ca="1">32.316794921875*OFFSET($L$112,MATCH($N$1,$C$112:$C$113,0)-1,0)</f>
        <v>32.316794921875001</v>
      </c>
      <c r="G142" s="206"/>
      <c r="H142" s="206"/>
      <c r="I142" s="46"/>
      <c r="J142" s="206"/>
      <c r="K142" s="71" t="s">
        <v>267</v>
      </c>
      <c r="L142" s="75">
        <f ca="1">IFERROR(L140/L$139,"")</f>
        <v>0.77840176039817799</v>
      </c>
      <c r="M142" s="75">
        <f t="shared" ref="M142:N143" ca="1" si="3">IFERROR(M140/M$139,"")</f>
        <v>0.83558920543048065</v>
      </c>
      <c r="N142" s="75">
        <f t="shared" ca="1" si="3"/>
        <v>0.89708202187864305</v>
      </c>
      <c r="O142" s="75"/>
    </row>
    <row r="143" spans="1:15" ht="18" customHeight="1">
      <c r="A143" s="206"/>
      <c r="B143" s="206"/>
      <c r="C143" s="206"/>
      <c r="D143" s="206"/>
      <c r="E143" s="206"/>
      <c r="F143" s="206"/>
      <c r="G143" s="206"/>
      <c r="H143" s="206"/>
      <c r="I143" s="46"/>
      <c r="J143" s="206"/>
      <c r="K143" s="71" t="s">
        <v>268</v>
      </c>
      <c r="L143" s="75">
        <f ca="1">IFERROR(L141/L$139,"")</f>
        <v>0.22159823960182201</v>
      </c>
      <c r="M143" s="75">
        <f t="shared" ca="1" si="3"/>
        <v>0.16441079456951935</v>
      </c>
      <c r="N143" s="75">
        <f t="shared" ca="1" si="3"/>
        <v>0.10291797812135704</v>
      </c>
      <c r="O143" s="75"/>
    </row>
    <row r="144" spans="1:15" ht="18" customHeight="1">
      <c r="A144" s="206"/>
      <c r="B144" s="206"/>
      <c r="C144" s="206"/>
      <c r="D144" s="206"/>
      <c r="E144" s="206"/>
      <c r="F144" s="206"/>
      <c r="G144" s="206"/>
      <c r="H144" s="206"/>
      <c r="I144" s="46"/>
      <c r="J144" s="206"/>
      <c r="K144" s="206"/>
      <c r="L144" s="206"/>
      <c r="M144" s="206"/>
      <c r="N144" s="206"/>
      <c r="O144" s="206"/>
    </row>
    <row r="145" spans="1:19" ht="18" customHeight="1">
      <c r="A145" s="206"/>
      <c r="B145" s="206"/>
      <c r="C145" s="206"/>
      <c r="D145" s="206"/>
      <c r="E145" s="206"/>
      <c r="F145" s="206"/>
      <c r="G145" s="206"/>
      <c r="H145" s="206"/>
      <c r="I145" s="46"/>
      <c r="J145" s="206"/>
      <c r="K145" s="206"/>
      <c r="L145" s="206"/>
      <c r="M145" s="206"/>
      <c r="N145" s="206"/>
      <c r="O145" s="206"/>
      <c r="P145" s="206"/>
      <c r="Q145" s="206"/>
      <c r="R145" s="206"/>
      <c r="S145" s="206"/>
    </row>
    <row r="146" spans="1:19" ht="18" customHeight="1">
      <c r="A146" s="206"/>
      <c r="B146" s="206"/>
      <c r="C146" s="206"/>
      <c r="D146" s="206"/>
      <c r="E146" s="206"/>
      <c r="F146" s="206"/>
      <c r="G146" s="206"/>
      <c r="H146" s="206"/>
      <c r="I146" s="46"/>
      <c r="J146" s="206"/>
      <c r="K146" s="206"/>
      <c r="L146" s="206"/>
      <c r="M146" s="206"/>
      <c r="N146" s="206"/>
      <c r="O146" s="206"/>
      <c r="P146" s="206"/>
      <c r="Q146" s="206"/>
      <c r="R146" s="206"/>
      <c r="S146" s="206"/>
    </row>
    <row r="147" spans="1:19" ht="18" customHeight="1">
      <c r="A147" s="206"/>
      <c r="B147" s="206"/>
      <c r="C147" s="206"/>
      <c r="D147" s="206"/>
      <c r="E147" s="206"/>
      <c r="F147" s="206"/>
      <c r="G147" s="206"/>
      <c r="H147" s="206"/>
      <c r="I147" s="46"/>
      <c r="J147" s="206"/>
      <c r="K147" s="206"/>
      <c r="L147" s="206"/>
      <c r="M147" s="206"/>
      <c r="N147" s="206"/>
      <c r="O147" s="206"/>
      <c r="P147" s="206"/>
      <c r="Q147" s="206"/>
      <c r="R147" s="206"/>
      <c r="S147" s="206"/>
    </row>
    <row r="148" spans="1:19" ht="18" customHeight="1">
      <c r="A148" s="206"/>
      <c r="B148" s="206"/>
      <c r="C148" s="206"/>
      <c r="D148" s="206"/>
      <c r="E148" s="206"/>
      <c r="F148" s="206"/>
      <c r="G148" s="206"/>
      <c r="H148" s="206"/>
      <c r="I148" s="46"/>
      <c r="J148" s="206"/>
      <c r="K148" s="206"/>
      <c r="L148" s="206"/>
      <c r="M148" s="206"/>
      <c r="N148" s="206"/>
      <c r="O148" s="206"/>
      <c r="P148" s="206"/>
      <c r="Q148" s="206"/>
      <c r="R148" s="206"/>
      <c r="S148" s="206"/>
    </row>
    <row r="149" spans="1:19" ht="18" customHeight="1">
      <c r="A149" s="206"/>
      <c r="B149" s="206"/>
      <c r="C149" s="206"/>
      <c r="D149" s="206"/>
      <c r="E149" s="206"/>
      <c r="F149" s="206"/>
      <c r="G149" s="206"/>
      <c r="H149" s="206"/>
      <c r="I149" s="46"/>
      <c r="J149" s="206"/>
      <c r="K149" s="206"/>
      <c r="L149" s="206"/>
      <c r="M149" s="206"/>
      <c r="N149" s="206"/>
      <c r="O149" s="206"/>
      <c r="P149" s="206"/>
      <c r="Q149" s="206"/>
      <c r="R149" s="206"/>
      <c r="S149" s="206"/>
    </row>
    <row r="150" spans="1:19" ht="18" customHeight="1">
      <c r="A150" s="206"/>
      <c r="B150" s="206"/>
      <c r="C150" s="206"/>
      <c r="D150" s="206"/>
      <c r="E150" s="206"/>
      <c r="F150" s="206"/>
      <c r="G150" s="206"/>
      <c r="H150" s="206"/>
      <c r="I150" s="46"/>
      <c r="J150" s="46"/>
      <c r="K150" s="46"/>
      <c r="L150" s="46"/>
      <c r="M150" s="46"/>
      <c r="N150" s="46"/>
      <c r="O150" s="46"/>
      <c r="P150" s="46"/>
      <c r="Q150" s="206"/>
      <c r="R150" s="206"/>
      <c r="S150" s="206"/>
    </row>
    <row r="151" spans="1:19" ht="18" customHeight="1">
      <c r="A151" s="206"/>
      <c r="B151" s="206"/>
      <c r="C151" s="206"/>
      <c r="D151" s="206"/>
      <c r="E151" s="206"/>
      <c r="F151" s="206"/>
      <c r="G151" s="206"/>
      <c r="H151" s="206"/>
      <c r="I151" s="46"/>
      <c r="J151" s="46"/>
      <c r="K151" s="46"/>
      <c r="L151" s="46"/>
      <c r="M151" s="46"/>
      <c r="N151" s="46"/>
      <c r="O151" s="46"/>
      <c r="P151" s="46"/>
      <c r="Q151" s="206"/>
      <c r="R151" s="206"/>
      <c r="S151" s="206"/>
    </row>
    <row r="152" spans="1:19" ht="18" customHeight="1">
      <c r="A152" s="48" t="s">
        <v>217</v>
      </c>
      <c r="B152" s="48" t="str">
        <f ca="1">F114</f>
        <v>All values are adjusted to 2019 prices. Quartiles are based on operating profit margin.</v>
      </c>
      <c r="C152" s="206"/>
      <c r="D152" s="206"/>
      <c r="E152" s="206"/>
      <c r="F152" s="206"/>
      <c r="G152" s="206"/>
      <c r="H152" s="206"/>
      <c r="I152" s="206"/>
      <c r="J152" s="206"/>
      <c r="K152" s="206"/>
      <c r="L152" s="206"/>
      <c r="M152" s="206"/>
      <c r="N152" s="206"/>
      <c r="O152" s="206"/>
      <c r="P152" s="49" t="str">
        <f>P89</f>
        <v>Version: November 2021</v>
      </c>
      <c r="Q152" s="206"/>
      <c r="R152" s="206"/>
      <c r="S152" s="206"/>
    </row>
    <row r="153" spans="1:19" ht="18" customHeight="1">
      <c r="A153" s="46"/>
      <c r="B153" s="48" t="s">
        <v>218</v>
      </c>
      <c r="C153" s="206"/>
      <c r="D153" s="206"/>
      <c r="E153" s="206"/>
      <c r="F153" s="206"/>
      <c r="G153" s="206"/>
      <c r="H153" s="206"/>
      <c r="I153" s="206"/>
      <c r="J153" s="206"/>
      <c r="K153" s="206"/>
      <c r="L153" s="206"/>
      <c r="M153" s="206"/>
      <c r="N153" s="206"/>
      <c r="O153" s="206"/>
      <c r="P153" s="206"/>
      <c r="Q153" s="206"/>
      <c r="R153" s="206"/>
      <c r="S153" s="206"/>
    </row>
    <row r="154" spans="1:19" ht="18" customHeight="1">
      <c r="A154" s="206"/>
      <c r="B154" s="206"/>
      <c r="C154" s="206"/>
      <c r="D154" s="206"/>
      <c r="E154" s="206"/>
      <c r="F154" s="206"/>
      <c r="G154" s="206"/>
      <c r="H154" s="206"/>
      <c r="I154" s="206"/>
      <c r="J154" s="206"/>
      <c r="K154" s="206"/>
      <c r="L154" s="206"/>
      <c r="M154" s="206"/>
      <c r="N154" s="206"/>
      <c r="O154" s="206"/>
      <c r="P154" s="206"/>
      <c r="Q154" s="206"/>
      <c r="R154" s="206"/>
      <c r="S154" s="206"/>
    </row>
    <row r="155" spans="1:19" ht="18" customHeight="1">
      <c r="A155" s="206"/>
      <c r="B155" s="206"/>
      <c r="C155" s="206"/>
      <c r="D155" s="206"/>
      <c r="E155" s="206"/>
      <c r="F155" s="206"/>
      <c r="G155" s="206"/>
      <c r="H155" s="206"/>
      <c r="I155" s="206"/>
      <c r="J155" s="206"/>
      <c r="K155" s="206"/>
      <c r="L155" s="206"/>
      <c r="M155" s="206"/>
      <c r="N155" s="206"/>
      <c r="O155" s="206"/>
      <c r="P155" s="206"/>
      <c r="Q155" s="206"/>
      <c r="R155" s="206"/>
      <c r="S155" s="206"/>
    </row>
    <row r="156" spans="1:19" ht="18" customHeight="1">
      <c r="A156" s="206"/>
      <c r="B156" s="206"/>
      <c r="C156" s="206"/>
      <c r="D156" s="206"/>
      <c r="E156" s="206"/>
      <c r="F156" s="206"/>
      <c r="G156" s="206"/>
      <c r="H156" s="206"/>
      <c r="I156" s="206"/>
      <c r="J156" s="206"/>
      <c r="K156" s="206"/>
      <c r="L156" s="206"/>
      <c r="M156" s="206"/>
      <c r="N156" s="206"/>
      <c r="O156" s="206"/>
      <c r="P156" s="206"/>
      <c r="Q156" s="206"/>
      <c r="R156" s="206"/>
      <c r="S156" s="206"/>
    </row>
    <row r="157" spans="1:19" s="50" customFormat="1" ht="18" customHeight="1"/>
    <row r="158" spans="1:19" s="50" customFormat="1" ht="18" customHeight="1">
      <c r="A158" s="46"/>
      <c r="B158" s="46"/>
      <c r="C158" s="46"/>
      <c r="D158" s="46"/>
      <c r="E158" s="46"/>
      <c r="F158" s="46"/>
      <c r="G158" s="46"/>
      <c r="H158" s="46"/>
      <c r="I158" s="46"/>
      <c r="J158" s="46"/>
      <c r="K158" s="46"/>
      <c r="L158" s="46"/>
      <c r="M158" s="46"/>
      <c r="N158" s="46"/>
      <c r="O158" s="46"/>
      <c r="P158" s="46"/>
      <c r="Q158" s="46"/>
    </row>
    <row r="159" spans="1:19" s="50" customFormat="1">
      <c r="A159" s="46"/>
      <c r="B159" s="46"/>
      <c r="C159" s="46"/>
      <c r="D159" s="46"/>
      <c r="E159" s="46"/>
      <c r="F159" s="46"/>
      <c r="G159" s="46"/>
      <c r="H159" s="46"/>
      <c r="I159" s="46"/>
      <c r="J159" s="46"/>
      <c r="K159" s="46"/>
      <c r="L159" s="46"/>
      <c r="M159" s="46"/>
      <c r="N159" s="46"/>
      <c r="O159" s="46"/>
      <c r="P159" s="46"/>
      <c r="Q159" s="46"/>
      <c r="R159" s="206"/>
      <c r="S159" s="206"/>
    </row>
    <row r="160" spans="1:19" s="46" customFormat="1">
      <c r="B160" s="46" t="s">
        <v>269</v>
      </c>
      <c r="R160" s="206"/>
      <c r="S160" s="206"/>
    </row>
    <row r="161" spans="1:19" s="46" customFormat="1" ht="45">
      <c r="A161" s="47">
        <v>9</v>
      </c>
      <c r="B161" s="51"/>
      <c r="C161" s="76" t="s">
        <v>249</v>
      </c>
      <c r="D161" s="76" t="s">
        <v>270</v>
      </c>
      <c r="E161" s="76" t="s">
        <v>251</v>
      </c>
      <c r="F161" s="76" t="s">
        <v>271</v>
      </c>
      <c r="G161" s="77">
        <v>9</v>
      </c>
      <c r="H161" s="76"/>
      <c r="I161" s="76" t="s">
        <v>249</v>
      </c>
      <c r="J161" s="76" t="s">
        <v>270</v>
      </c>
      <c r="K161" s="76" t="s">
        <v>251</v>
      </c>
      <c r="L161" s="51" t="s">
        <v>271</v>
      </c>
      <c r="R161" s="206"/>
      <c r="S161" s="206"/>
    </row>
    <row r="162" spans="1:19" s="46" customFormat="1">
      <c r="A162" s="47">
        <v>1</v>
      </c>
      <c r="B162" s="51" t="s">
        <v>160</v>
      </c>
      <c r="C162" s="51">
        <v>0.81509779712987529</v>
      </c>
      <c r="D162" s="51">
        <v>0.80862262596062462</v>
      </c>
      <c r="E162" s="51">
        <v>0.734312410008503</v>
      </c>
      <c r="F162" s="47">
        <v>12153634</v>
      </c>
      <c r="G162" s="47">
        <v>1</v>
      </c>
      <c r="H162" s="51" t="s">
        <v>160</v>
      </c>
      <c r="I162" s="51">
        <v>0.88576612021857926</v>
      </c>
      <c r="J162" s="51">
        <v>0.85611519845075323</v>
      </c>
      <c r="K162" s="51">
        <v>0.78812496851468472</v>
      </c>
      <c r="L162" s="47">
        <v>12153634</v>
      </c>
      <c r="R162" s="206"/>
      <c r="S162" s="206"/>
    </row>
    <row r="163" spans="1:19" s="46" customFormat="1">
      <c r="A163" s="47">
        <v>2</v>
      </c>
      <c r="B163" s="51" t="s">
        <v>172</v>
      </c>
      <c r="C163" s="51">
        <v>3.7466339477142771E-2</v>
      </c>
      <c r="D163" s="51">
        <v>8.2176797717205943E-2</v>
      </c>
      <c r="E163" s="51">
        <v>0.13907412622082099</v>
      </c>
      <c r="F163" s="47">
        <v>553960</v>
      </c>
      <c r="G163" s="47">
        <v>2</v>
      </c>
      <c r="H163" s="51" t="s">
        <v>172</v>
      </c>
      <c r="I163" s="51">
        <v>3.5085029451422896E-2</v>
      </c>
      <c r="J163" s="51">
        <v>7.9358249632395031E-2</v>
      </c>
      <c r="K163" s="51">
        <v>0.14190846389244058</v>
      </c>
      <c r="L163" s="47">
        <v>553960</v>
      </c>
      <c r="N163" s="46" t="s">
        <v>272</v>
      </c>
      <c r="R163" s="206"/>
      <c r="S163" s="206"/>
    </row>
    <row r="164" spans="1:19" s="46" customFormat="1">
      <c r="A164" s="47">
        <v>3</v>
      </c>
      <c r="B164" s="51" t="s">
        <v>274</v>
      </c>
      <c r="C164" s="51">
        <v>4.4800344352147581E-2</v>
      </c>
      <c r="D164" s="51">
        <v>2.6923175398652695E-2</v>
      </c>
      <c r="E164" s="51">
        <v>3.310219522607262E-2</v>
      </c>
      <c r="F164" s="47">
        <v>11115023</v>
      </c>
      <c r="G164" s="47">
        <v>3</v>
      </c>
      <c r="H164" s="51" t="s">
        <v>157</v>
      </c>
      <c r="I164" s="51">
        <v>1.2649241537151374E-2</v>
      </c>
      <c r="J164" s="51">
        <v>1.1803605867684147E-2</v>
      </c>
      <c r="K164" s="51">
        <v>7.9175822396434295E-3</v>
      </c>
      <c r="L164" s="47">
        <v>1692097</v>
      </c>
      <c r="N164" s="46" t="s">
        <v>273</v>
      </c>
      <c r="R164" s="206"/>
      <c r="S164" s="206"/>
    </row>
    <row r="165" spans="1:19" s="46" customFormat="1">
      <c r="A165" s="47">
        <v>4</v>
      </c>
      <c r="B165" s="51" t="s">
        <v>157</v>
      </c>
      <c r="C165" s="51">
        <v>2.4331705359364523E-2</v>
      </c>
      <c r="D165" s="51">
        <v>2.1373842299956307E-2</v>
      </c>
      <c r="E165" s="51">
        <v>0</v>
      </c>
      <c r="F165" s="47">
        <v>1692097</v>
      </c>
      <c r="G165" s="47">
        <v>4</v>
      </c>
      <c r="H165" s="51" t="s">
        <v>170</v>
      </c>
      <c r="I165" s="51">
        <v>0</v>
      </c>
      <c r="J165" s="51">
        <v>1.0317830030427954E-2</v>
      </c>
      <c r="K165" s="51">
        <v>0</v>
      </c>
      <c r="L165" s="47">
        <v>7434864</v>
      </c>
      <c r="R165" s="206"/>
      <c r="S165" s="206"/>
    </row>
    <row r="166" spans="1:19" s="46" customFormat="1">
      <c r="A166" s="47">
        <v>5</v>
      </c>
      <c r="B166" s="51" t="s">
        <v>244</v>
      </c>
      <c r="C166" s="51">
        <v>0</v>
      </c>
      <c r="D166" s="51">
        <v>1.5172820137449606E-2</v>
      </c>
      <c r="E166" s="51">
        <v>0</v>
      </c>
      <c r="F166" s="47">
        <v>2480382</v>
      </c>
      <c r="G166" s="47">
        <v>5</v>
      </c>
      <c r="H166" s="51" t="s">
        <v>161</v>
      </c>
      <c r="I166" s="51">
        <v>1.6081544957774467E-2</v>
      </c>
      <c r="J166" s="51">
        <v>1.0259052956720393E-2</v>
      </c>
      <c r="K166" s="51">
        <v>1.78187752607184E-2</v>
      </c>
      <c r="L166" s="47">
        <v>3050596</v>
      </c>
      <c r="R166" s="206"/>
      <c r="S166" s="206"/>
    </row>
    <row r="167" spans="1:19" s="46" customFormat="1">
      <c r="A167" s="47">
        <v>6</v>
      </c>
      <c r="B167" s="51" t="s">
        <v>243</v>
      </c>
      <c r="C167" s="51">
        <v>0</v>
      </c>
      <c r="D167" s="51">
        <v>0</v>
      </c>
      <c r="E167" s="51">
        <v>2.4195782987037392E-2</v>
      </c>
      <c r="F167" s="47">
        <v>8497745</v>
      </c>
      <c r="G167" s="47">
        <v>6</v>
      </c>
      <c r="H167" s="51" t="s">
        <v>243</v>
      </c>
      <c r="I167" s="51">
        <v>0</v>
      </c>
      <c r="J167" s="51">
        <v>0</v>
      </c>
      <c r="K167" s="51">
        <v>1.3058565734941224E-2</v>
      </c>
      <c r="L167" s="47">
        <v>8497745</v>
      </c>
      <c r="R167" s="206"/>
      <c r="S167" s="206"/>
    </row>
    <row r="168" spans="1:19" s="46" customFormat="1">
      <c r="A168" s="47">
        <v>7</v>
      </c>
      <c r="B168" s="51" t="s">
        <v>161</v>
      </c>
      <c r="C168" s="51">
        <v>1.5805879374369107E-2</v>
      </c>
      <c r="D168" s="51">
        <v>0</v>
      </c>
      <c r="E168" s="51">
        <v>1.9747102686660106E-2</v>
      </c>
      <c r="F168" s="47">
        <v>3050596</v>
      </c>
      <c r="G168" s="47">
        <v>7</v>
      </c>
      <c r="H168" s="51" t="s">
        <v>285</v>
      </c>
      <c r="I168" s="51">
        <v>8.9336118799233557E-3</v>
      </c>
      <c r="J168" s="51">
        <v>0</v>
      </c>
      <c r="K168" s="51">
        <v>0</v>
      </c>
      <c r="L168" s="47">
        <v>3689192</v>
      </c>
      <c r="R168" s="206"/>
      <c r="S168" s="206"/>
    </row>
    <row r="169" spans="1:19" s="46" customFormat="1">
      <c r="A169" s="47">
        <v>8</v>
      </c>
      <c r="B169" s="51" t="s">
        <v>245</v>
      </c>
      <c r="C169" s="51">
        <v>6.2497934307100822E-2</v>
      </c>
      <c r="D169" s="51">
        <v>4.5730738486110756E-2</v>
      </c>
      <c r="E169" s="51">
        <v>4.9568382870905814E-2</v>
      </c>
      <c r="F169" s="47">
        <v>5920853</v>
      </c>
      <c r="G169" s="47">
        <v>8</v>
      </c>
      <c r="H169" s="51" t="s">
        <v>245</v>
      </c>
      <c r="I169" s="51">
        <v>4.1484451955148605E-2</v>
      </c>
      <c r="J169" s="51">
        <v>3.2146063062019281E-2</v>
      </c>
      <c r="K169" s="51">
        <v>3.1171644357571582E-2</v>
      </c>
      <c r="L169" s="47">
        <v>5920853</v>
      </c>
      <c r="R169" s="206"/>
      <c r="S169" s="206"/>
    </row>
    <row r="170" spans="1:19" s="46" customFormat="1">
      <c r="A170" s="47">
        <v>9</v>
      </c>
      <c r="B170" s="51"/>
      <c r="C170" s="51">
        <v>0</v>
      </c>
      <c r="D170" s="51">
        <v>0</v>
      </c>
      <c r="E170" s="51">
        <v>0</v>
      </c>
      <c r="F170" s="47"/>
      <c r="G170" s="47">
        <v>9</v>
      </c>
      <c r="H170" s="51"/>
      <c r="I170" s="51">
        <v>0</v>
      </c>
      <c r="J170" s="51">
        <v>0</v>
      </c>
      <c r="K170" s="51">
        <v>0</v>
      </c>
      <c r="L170" s="47"/>
      <c r="R170" s="206"/>
      <c r="S170" s="206"/>
    </row>
    <row r="171" spans="1:19" s="46" customFormat="1">
      <c r="A171" s="47">
        <v>10</v>
      </c>
      <c r="B171" s="51"/>
      <c r="C171" s="51">
        <v>0</v>
      </c>
      <c r="D171" s="51">
        <v>0</v>
      </c>
      <c r="E171" s="51">
        <v>0</v>
      </c>
      <c r="F171" s="47"/>
      <c r="G171" s="47">
        <v>10</v>
      </c>
      <c r="H171" s="51"/>
      <c r="I171" s="51">
        <v>0</v>
      </c>
      <c r="J171" s="51">
        <v>0</v>
      </c>
      <c r="K171" s="51">
        <v>0</v>
      </c>
      <c r="L171" s="47"/>
      <c r="R171" s="206"/>
      <c r="S171" s="206"/>
    </row>
    <row r="172" spans="1:19" s="46" customFormat="1">
      <c r="A172" s="47">
        <v>11</v>
      </c>
      <c r="B172" s="51"/>
      <c r="C172" s="51">
        <v>0</v>
      </c>
      <c r="D172" s="51">
        <v>0</v>
      </c>
      <c r="E172" s="51">
        <v>0</v>
      </c>
      <c r="F172" s="47"/>
      <c r="G172" s="47">
        <v>11</v>
      </c>
      <c r="H172" s="51"/>
      <c r="I172" s="51">
        <v>0</v>
      </c>
      <c r="J172" s="51">
        <v>0</v>
      </c>
      <c r="K172" s="51">
        <v>0</v>
      </c>
      <c r="L172" s="47"/>
      <c r="R172" s="206"/>
      <c r="S172" s="206"/>
    </row>
    <row r="173" spans="1:19" s="46" customFormat="1">
      <c r="A173" s="47">
        <v>12</v>
      </c>
      <c r="B173" s="51"/>
      <c r="C173" s="51">
        <v>0</v>
      </c>
      <c r="D173" s="51">
        <v>0</v>
      </c>
      <c r="E173" s="51">
        <v>0</v>
      </c>
      <c r="F173" s="47"/>
      <c r="G173" s="47">
        <v>12</v>
      </c>
      <c r="H173" s="51"/>
      <c r="I173" s="51">
        <v>0</v>
      </c>
      <c r="J173" s="51">
        <v>0</v>
      </c>
      <c r="K173" s="51">
        <v>0</v>
      </c>
      <c r="L173" s="47"/>
      <c r="R173" s="206"/>
      <c r="S173" s="206"/>
    </row>
    <row r="174" spans="1:19" s="46" customFormat="1">
      <c r="A174" s="47">
        <v>13</v>
      </c>
      <c r="B174" s="51"/>
      <c r="C174" s="51">
        <v>0</v>
      </c>
      <c r="D174" s="51">
        <v>0</v>
      </c>
      <c r="E174" s="51">
        <v>0</v>
      </c>
      <c r="F174" s="47"/>
      <c r="G174" s="47">
        <v>13</v>
      </c>
      <c r="H174" s="51"/>
      <c r="I174" s="51">
        <v>0</v>
      </c>
      <c r="J174" s="51">
        <v>0</v>
      </c>
      <c r="K174" s="51">
        <v>0</v>
      </c>
      <c r="L174" s="47"/>
      <c r="R174" s="206"/>
      <c r="S174" s="206"/>
    </row>
    <row r="175" spans="1:19" s="46" customFormat="1">
      <c r="A175" s="47">
        <v>14</v>
      </c>
      <c r="B175" s="51"/>
      <c r="C175" s="51">
        <v>0</v>
      </c>
      <c r="D175" s="51">
        <v>0</v>
      </c>
      <c r="E175" s="51">
        <v>0</v>
      </c>
      <c r="F175" s="47"/>
      <c r="G175" s="47">
        <v>14</v>
      </c>
      <c r="H175" s="51"/>
      <c r="I175" s="51">
        <v>0</v>
      </c>
      <c r="J175" s="51">
        <v>0</v>
      </c>
      <c r="K175" s="51">
        <v>0</v>
      </c>
      <c r="L175" s="47"/>
      <c r="R175" s="206"/>
      <c r="S175" s="206"/>
    </row>
    <row r="176" spans="1:19" s="46" customFormat="1">
      <c r="A176" s="47">
        <v>15</v>
      </c>
      <c r="B176" s="51"/>
      <c r="C176" s="51">
        <v>0</v>
      </c>
      <c r="D176" s="51">
        <v>0</v>
      </c>
      <c r="E176" s="51">
        <v>0</v>
      </c>
      <c r="F176" s="47"/>
      <c r="G176" s="47">
        <v>15</v>
      </c>
      <c r="H176" s="51"/>
      <c r="I176" s="51">
        <v>0</v>
      </c>
      <c r="J176" s="51">
        <v>0</v>
      </c>
      <c r="K176" s="51">
        <v>0</v>
      </c>
      <c r="L176" s="47"/>
      <c r="R176" s="206"/>
      <c r="S176" s="206"/>
    </row>
    <row r="177" spans="1:19" s="46" customFormat="1">
      <c r="A177" s="47">
        <v>16</v>
      </c>
      <c r="B177" s="51"/>
      <c r="C177" s="51">
        <v>0</v>
      </c>
      <c r="D177" s="51">
        <v>0</v>
      </c>
      <c r="E177" s="51">
        <v>0</v>
      </c>
      <c r="F177" s="47"/>
      <c r="G177" s="47">
        <v>16</v>
      </c>
      <c r="H177" s="51"/>
      <c r="I177" s="51">
        <v>0</v>
      </c>
      <c r="J177" s="51">
        <v>0</v>
      </c>
      <c r="K177" s="51">
        <v>0</v>
      </c>
      <c r="L177" s="47"/>
      <c r="R177" s="206"/>
      <c r="S177" s="206"/>
    </row>
    <row r="178" spans="1:19" s="50" customFormat="1">
      <c r="A178" s="46"/>
      <c r="B178" s="46"/>
      <c r="C178" s="46"/>
      <c r="D178" s="46"/>
      <c r="E178" s="46"/>
      <c r="F178" s="46"/>
      <c r="G178" s="46"/>
      <c r="H178" s="46"/>
      <c r="I178" s="46"/>
      <c r="J178" s="46"/>
      <c r="K178" s="46"/>
      <c r="L178" s="46"/>
      <c r="M178" s="46"/>
      <c r="N178" s="46"/>
      <c r="O178" s="46"/>
      <c r="P178" s="46"/>
      <c r="Q178" s="46"/>
      <c r="R178" s="206"/>
      <c r="S178" s="206"/>
    </row>
    <row r="179" spans="1:19" s="50" customFormat="1">
      <c r="A179" s="46"/>
      <c r="B179" s="46"/>
      <c r="C179" s="46"/>
      <c r="D179" s="46"/>
      <c r="E179" s="46"/>
      <c r="F179" s="46"/>
      <c r="G179" s="46"/>
      <c r="H179" s="46"/>
      <c r="I179" s="46"/>
      <c r="J179" s="46"/>
      <c r="K179" s="46"/>
      <c r="L179" s="46"/>
      <c r="M179" s="46"/>
      <c r="N179" s="46"/>
      <c r="O179" s="46"/>
      <c r="P179" s="46"/>
      <c r="Q179" s="46"/>
      <c r="R179" s="206"/>
      <c r="S179" s="206"/>
    </row>
    <row r="180" spans="1:19" s="50" customFormat="1">
      <c r="A180" s="206"/>
      <c r="B180" s="206"/>
      <c r="C180" s="206"/>
      <c r="D180" s="206"/>
      <c r="E180" s="206"/>
      <c r="F180" s="206"/>
      <c r="G180" s="206"/>
      <c r="H180" s="206"/>
      <c r="I180" s="206"/>
      <c r="J180" s="206"/>
      <c r="K180" s="206"/>
      <c r="L180" s="206"/>
      <c r="M180" s="206"/>
      <c r="N180" s="206"/>
      <c r="O180" s="206"/>
      <c r="P180" s="206"/>
      <c r="Q180" s="206"/>
      <c r="R180" s="206"/>
      <c r="S180" s="206"/>
    </row>
    <row r="181" spans="1:19" s="50" customFormat="1">
      <c r="A181" s="206"/>
      <c r="B181" s="206"/>
      <c r="C181" s="206"/>
      <c r="D181" s="206"/>
      <c r="E181" s="206"/>
      <c r="F181" s="206"/>
      <c r="G181" s="206"/>
      <c r="H181" s="206"/>
      <c r="I181" s="206"/>
      <c r="J181" s="206"/>
      <c r="K181" s="206"/>
      <c r="L181" s="206"/>
      <c r="M181" s="206"/>
      <c r="N181" s="206"/>
      <c r="O181" s="206"/>
      <c r="P181" s="206"/>
      <c r="Q181" s="206"/>
      <c r="R181" s="206"/>
      <c r="S181" s="206"/>
    </row>
    <row r="182" spans="1:19" s="50" customFormat="1">
      <c r="A182" s="206"/>
      <c r="B182" s="206"/>
      <c r="C182" s="206"/>
      <c r="D182" s="206"/>
      <c r="E182" s="206"/>
      <c r="F182" s="206"/>
      <c r="G182" s="206"/>
      <c r="H182" s="206"/>
      <c r="I182" s="206"/>
      <c r="J182" s="206"/>
      <c r="K182" s="206"/>
      <c r="L182" s="206"/>
      <c r="M182" s="206"/>
      <c r="N182" s="206"/>
      <c r="O182" s="206"/>
      <c r="P182" s="206"/>
      <c r="Q182" s="206"/>
      <c r="R182" s="206"/>
      <c r="S182" s="206"/>
    </row>
    <row r="183" spans="1:19" s="50" customFormat="1">
      <c r="J183" s="206"/>
      <c r="K183" s="206"/>
      <c r="L183" s="206"/>
      <c r="M183" s="206"/>
      <c r="N183" s="206"/>
      <c r="O183" s="206"/>
      <c r="P183" s="206"/>
      <c r="Q183" s="206"/>
      <c r="R183" s="206"/>
      <c r="S183" s="206"/>
    </row>
    <row r="184" spans="1:19" s="50" customFormat="1">
      <c r="J184" s="206"/>
      <c r="K184" s="206"/>
      <c r="L184" s="206"/>
      <c r="M184" s="206"/>
      <c r="N184" s="206"/>
      <c r="O184" s="206"/>
      <c r="P184" s="206"/>
      <c r="Q184" s="206"/>
      <c r="R184" s="206"/>
      <c r="S184" s="206"/>
    </row>
    <row r="185" spans="1:19" s="50" customFormat="1">
      <c r="J185" s="206"/>
      <c r="K185" s="206"/>
      <c r="L185" s="206"/>
      <c r="M185" s="206"/>
      <c r="N185" s="206"/>
      <c r="O185" s="206"/>
      <c r="P185" s="206"/>
      <c r="Q185" s="206"/>
      <c r="R185" s="206"/>
      <c r="S185" s="206"/>
    </row>
    <row r="186" spans="1:19" s="50" customFormat="1">
      <c r="J186" s="206"/>
      <c r="K186" s="206"/>
      <c r="L186" s="206"/>
      <c r="M186" s="206"/>
      <c r="N186" s="206"/>
      <c r="O186" s="206"/>
      <c r="P186" s="206"/>
      <c r="Q186" s="206"/>
      <c r="R186" s="206"/>
      <c r="S186" s="206"/>
    </row>
    <row r="187" spans="1:19" s="50" customFormat="1"/>
    <row r="188" spans="1:19" s="50" customFormat="1"/>
    <row r="189" spans="1:19" s="50" customFormat="1"/>
    <row r="190" spans="1:19" s="50" customFormat="1"/>
    <row r="191" spans="1:19" s="50" customFormat="1"/>
    <row r="192" spans="1:19" s="50" customFormat="1"/>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C3979A8E-51FB-48ED-B6D8-5C27B556D7F1}">
      <formula1>$C$112:$C$113</formula1>
    </dataValidation>
  </dataValidations>
  <hyperlinks>
    <hyperlink ref="O1:P1" location="Home_page" display="Back to home page" xr:uid="{15474592-C0F5-4100-A454-8593C98C8887}"/>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r2:uid="{95ED5C98-0D9D-4908-ACCA-6EF8ACB52F90}">
          <x14:colorSeries rgb="FF323232"/>
          <x14:colorNegative rgb="FFD00000"/>
          <x14:colorAxis rgb="FF000000"/>
          <x14:colorMarkers rgb="FFD00000"/>
          <x14:colorFirst rgb="FFD00000"/>
          <x14:colorLast rgb="FFD00000"/>
          <x14:colorHigh rgb="FFD00000"/>
          <x14:colorLow rgb="FFD00000"/>
          <x14:sparklines>
            <x14:sparkline>
              <xm:f>'Area VIIa nephrops u250kW'!D3:N3</xm:f>
              <xm:sqref>C3</xm:sqref>
            </x14:sparkline>
            <x14:sparkline>
              <xm:f>'Area VIIa nephrops u250kW'!D4:N4</xm:f>
              <xm:sqref>C4</xm:sqref>
            </x14:sparkline>
            <x14:sparkline>
              <xm:f>'Area VIIa nephrops u250kW'!D5:N5</xm:f>
              <xm:sqref>C5</xm:sqref>
            </x14:sparkline>
            <x14:sparkline>
              <xm:f>'Area VIIa nephrops u250kW'!D6:N6</xm:f>
              <xm:sqref>C6</xm:sqref>
            </x14:sparkline>
            <x14:sparkline>
              <xm:f>'Area VIIa nephrops u250kW'!D7:N7</xm:f>
              <xm:sqref>C7</xm:sqref>
            </x14:sparkline>
            <x14:sparkline>
              <xm:f>'Area VIIa nephrops u250kW'!D8:N8</xm:f>
              <xm:sqref>C8</xm:sqref>
            </x14:sparkline>
            <x14:sparkline>
              <xm:f>'Area VIIa nephrops u250kW'!D9:N9</xm:f>
              <xm:sqref>C9</xm:sqref>
            </x14:sparkline>
            <x14:sparkline>
              <xm:f>'Area VIIa nephrops u250kW'!D10:N10</xm:f>
              <xm:sqref>C10</xm:sqref>
            </x14:sparkline>
            <x14:sparkline>
              <xm:f>'Area VIIa nephrops u250kW'!D11:N11</xm:f>
              <xm:sqref>C11</xm:sqref>
            </x14:sparkline>
            <x14:sparkline>
              <xm:f>'Area VIIa nephrops u250kW'!D12:N12</xm:f>
              <xm:sqref>C12</xm:sqref>
            </x14:sparkline>
            <x14:sparkline>
              <xm:f>'Area VIIa nephrops u250kW'!D13:N13</xm:f>
              <xm:sqref>C13</xm:sqref>
            </x14:sparkline>
            <x14:sparkline>
              <xm:f>'Area VIIa nephrops u250kW'!D14:N14</xm:f>
              <xm:sqref>C14</xm:sqref>
            </x14:sparkline>
            <x14:sparkline>
              <xm:f>'Area VIIa nephrops u250kW'!D15:N15</xm:f>
              <xm:sqref>C15</xm:sqref>
            </x14:sparkline>
            <x14:sparkline>
              <xm:f>'Area VIIa nephrops u250kW'!D16:N16</xm:f>
              <xm:sqref>C16</xm:sqref>
            </x14:sparkline>
            <x14:sparkline>
              <xm:f>'Area VIIa nephrops u250kW'!D17:N17</xm:f>
              <xm:sqref>C17</xm:sqref>
            </x14:sparkline>
            <x14:sparkline>
              <xm:f>'Area VIIa nephrops u250kW'!D18:N18</xm:f>
              <xm:sqref>C18</xm:sqref>
            </x14:sparkline>
            <x14:sparkline>
              <xm:f>'Area VIIa nephrops u250kW'!D19:N19</xm:f>
              <xm:sqref>C19</xm:sqref>
            </x14:sparkline>
            <x14:sparkline>
              <xm:f>'Area VIIa nephrops u250kW'!D20:N20</xm:f>
              <xm:sqref>C20</xm:sqref>
            </x14:sparkline>
            <x14:sparkline>
              <xm:f>'Area VIIa nephrops u250kW'!D21:N21</xm:f>
              <xm:sqref>C21</xm:sqref>
            </x14:sparkline>
            <x14:sparkline>
              <xm:f>'Area VIIa nephrops u250kW'!D22:N22</xm:f>
              <xm:sqref>C22</xm:sqref>
            </x14:sparkline>
            <x14:sparkline>
              <xm:f>'Area VIIa nephrops u250kW'!D23:N23</xm:f>
              <xm:sqref>C23</xm:sqref>
            </x14:sparkline>
            <x14:sparkline>
              <xm:f>'Area VIIa nephrops u250kW'!D24:N24</xm:f>
              <xm:sqref>C24</xm:sqref>
            </x14:sparkline>
            <x14:sparkline>
              <xm:f>'Area VIIa nephrops u250kW'!D25:N25</xm:f>
              <xm:sqref>C25</xm:sqref>
            </x14:sparkline>
            <x14:sparkline>
              <xm:f>'Area VIIa nephrops u250kW'!D26:N26</xm:f>
              <xm:sqref>C26</xm:sqref>
            </x14:sparkline>
            <x14:sparkline>
              <xm:f>'Area VIIa nephrops u250kW'!D27:N27</xm:f>
              <xm:sqref>C27</xm:sqref>
            </x14:sparkline>
            <x14:sparkline>
              <xm:f>'Area VIIa nephrops u250kW'!D28:N28</xm:f>
              <xm:sqref>C28</xm:sqref>
            </x14:sparkline>
            <x14:sparkline>
              <xm:f>'Area VIIa nephrops u250kW'!D29:N29</xm:f>
              <xm:sqref>C29</xm:sqref>
            </x14:sparkline>
            <x14:sparkline>
              <xm:f>'Area VIIa nephrops u250kW'!D30:N30</xm:f>
              <xm:sqref>C30</xm:sqref>
            </x14:sparkline>
            <x14:sparkline>
              <xm:f>'Area VIIa nephrops u250kW'!D31:N31</xm:f>
              <xm:sqref>C31</xm:sqref>
            </x14:sparkline>
            <x14:sparkline>
              <xm:f>'Area VIIa nephrops u250kW'!D32:N32</xm:f>
              <xm:sqref>C32</xm:sqref>
            </x14:sparkline>
            <x14:sparkline>
              <xm:f>'Area VIIa nephrops u250kW'!D33:N33</xm:f>
              <xm:sqref>C33</xm:sqref>
            </x14:sparkline>
            <x14:sparkline>
              <xm:f>'Area VIIa nephrops u250kW'!D34:N34</xm:f>
              <xm:sqref>C34</xm:sqref>
            </x14:sparkline>
            <x14:sparkline>
              <xm:f>'Area VIIa nephrops u250kW'!D35:N35</xm:f>
              <xm:sqref>C35</xm:sqref>
            </x14:sparkline>
            <x14:sparkline>
              <xm:f>'Area VIIa nephrops u250kW'!D36:N36</xm:f>
              <xm:sqref>C36</xm:sqref>
            </x14:sparkline>
            <x14:sparkline>
              <xm:f>'Area VIIa nephrops u250kW'!D37:N37</xm:f>
              <xm:sqref>C37</xm:sqref>
            </x14:sparkline>
            <x14:sparkline>
              <xm:f>'Area VIIa nephrops u250kW'!D38:N38</xm:f>
              <xm:sqref>C38</xm:sqref>
            </x14:sparkline>
            <x14:sparkline>
              <xm:f>'Area VIIa nephrops u250kW'!D39:N39</xm:f>
              <xm:sqref>C39</xm:sqref>
            </x14:sparkline>
            <x14:sparkline>
              <xm:f>'Area VIIa nephrops u250kW'!D40:N40</xm:f>
              <xm:sqref>C40</xm:sqref>
            </x14:sparkline>
            <x14:sparkline>
              <xm:f>'Area VIIa nephrops u250kW'!D41:N41</xm:f>
              <xm:sqref>C41</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Seafish Open Document" ma:contentTypeID="0x010100FBC0F8BFD01A91498CA7837A71EEDFDB0100D8D74AD133DD5E4C9488BA264812959E" ma:contentTypeVersion="30" ma:contentTypeDescription="Seafish Open Document Content Type" ma:contentTypeScope="" ma:versionID="6cf6eeec6f8d0b88530e7c73574e6803">
  <xsd:schema xmlns:xsd="http://www.w3.org/2001/XMLSchema" xmlns:xs="http://www.w3.org/2001/XMLSchema" xmlns:p="http://schemas.microsoft.com/office/2006/metadata/properties" xmlns:ns2="cebd32e3-9ab6-41ee-b1af-b8405a8d4e68" xmlns:ns3="d4c1e97c-7a75-4aca-9712-5efb9ef450ab" targetNamespace="http://schemas.microsoft.com/office/2006/metadata/properties" ma:root="true" ma:fieldsID="c7adf362057f3fbfeab303a81cf00593" ns2:_="" ns3:_="">
    <xsd:import namespace="cebd32e3-9ab6-41ee-b1af-b8405a8d4e68"/>
    <xsd:import namespace="d4c1e97c-7a75-4aca-9712-5efb9ef450ab"/>
    <xsd:element name="properties">
      <xsd:complexType>
        <xsd:sequence>
          <xsd:element name="documentManagement">
            <xsd:complexType>
              <xsd:all>
                <xsd:element ref="ns2:PublicationDate"/>
                <xsd:element ref="ns2:DocumentSummary"/>
                <xsd:element ref="ns2:DocumentTopic" minOccurs="0"/>
                <xsd:element ref="ns2:DocumentAuthors" minOccurs="0"/>
                <xsd:element ref="ns2:MediaFormatOld" minOccurs="0"/>
                <xsd:element ref="ns2:PublicationRefNo" minOccurs="0"/>
                <xsd:element ref="ns2:ISBN" minOccurs="0"/>
                <xsd:element ref="ns2:LegacyId" minOccurs="0"/>
                <xsd:element ref="ns2:PubMonth" minOccurs="0"/>
                <xsd:element ref="ns2:PubYear" minOccurs="0"/>
                <xsd:element ref="ns2:MediaFormat" minOccurs="0"/>
                <xsd:element ref="ns2:DocumentAdded"/>
                <xsd:element ref="ns2:DocumentStatus"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MediaServiceAutoTags" minOccurs="0"/>
                <xsd:element ref="ns3:MediaServiceOCR" minOccurs="0"/>
                <xsd:element ref="ns3:MediaServiceGenerationTime" minOccurs="0"/>
                <xsd:element ref="ns3:MediaServiceEventHashCode"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bd32e3-9ab6-41ee-b1af-b8405a8d4e68" elementFormDefault="qualified">
    <xsd:import namespace="http://schemas.microsoft.com/office/2006/documentManagement/types"/>
    <xsd:import namespace="http://schemas.microsoft.com/office/infopath/2007/PartnerControls"/>
    <xsd:element name="PublicationDate" ma:index="2" ma:displayName="Publication Date" ma:format="DateOnly" ma:internalName="PublicationDate">
      <xsd:simpleType>
        <xsd:restriction base="dms:DateTime"/>
      </xsd:simpleType>
    </xsd:element>
    <xsd:element name="DocumentSummary" ma:index="3" ma:displayName="Summary" ma:internalName="DocumentSummary" ma:readOnly="false">
      <xsd:simpleType>
        <xsd:restriction base="dms:Note">
          <xsd:maxLength value="255"/>
        </xsd:restriction>
      </xsd:simpleType>
    </xsd:element>
    <xsd:element name="DocumentTopic" ma:index="5" nillable="true" ma:displayName="Topic" ma:default="" ma:internalName="DocumentTopic">
      <xsd:complexType>
        <xsd:complexContent>
          <xsd:extension base="dms:MultiChoice">
            <xsd:sequence>
              <xsd:element name="Value" maxOccurs="unbounded" minOccurs="0" nillable="true">
                <xsd:simpleType>
                  <xsd:restriction base="dms:Choice">
                    <xsd:enumeration value="Technical Report"/>
                    <xsd:enumeration value="Factsheet/Datasheet"/>
                    <xsd:enumeration value="Corporate Document"/>
                    <xsd:enumeration value="Guidelines"/>
                    <xsd:enumeration value="Marine Survey"/>
                    <xsd:enumeration value="Training Material"/>
                    <xsd:enumeration value="Careers"/>
                    <xsd:enumeration value="Economics and Business"/>
                    <xsd:enumeration value="Aquaculture"/>
                    <xsd:enumeration value="IPF Final Reports"/>
                    <xsd:enumeration value="Other"/>
                    <xsd:enumeration value="Not known"/>
                    <xsd:enumeration value="Internal Seafish Report"/>
                    <xsd:enumeration value="Confidential Seafish Report"/>
                    <xsd:enumeration value="Seafood Guide"/>
                    <xsd:enumeration value=".Web-About Seafish"/>
                    <xsd:enumeration value=".Web-Changing Landscapes"/>
                    <xsd:enumeration value=".Web-Promoting Seafood"/>
                    <xsd:enumeration value=".Web-Responsible Sourcing"/>
                    <xsd:enumeration value=".Web-Safety and Training"/>
                    <xsd:enumeration value=".Web-Insight and Research"/>
                  </xsd:restriction>
                </xsd:simpleType>
              </xsd:element>
            </xsd:sequence>
          </xsd:extension>
        </xsd:complexContent>
      </xsd:complexType>
    </xsd:element>
    <xsd:element name="DocumentAuthors" ma:index="6" nillable="true" ma:displayName="Authors" ma:internalName="DocumentAuthors">
      <xsd:complexType>
        <xsd:complexContent>
          <xsd:extension base="dms:MultiChoice">
            <xsd:sequence>
              <xsd:element name="Value" maxOccurs="unbounded" minOccurs="0" nillable="true">
                <xsd:simpleType>
                  <xsd:restriction base="dms:Choice">
                    <xsd:enumeration value="A. Justel-Rubio"/>
                    <xsd:enumeration value="A. Lucchetti"/>
                    <xsd:enumeration value="A. Sala"/>
                    <xsd:enumeration value="A.Adams"/>
                    <xsd:enumeration value="A.B"/>
                    <xsd:enumeration value="A.Bent"/>
                    <xsd:enumeration value="A.Brown"/>
                    <xsd:enumeration value="A.C.C"/>
                    <xsd:enumeration value="A.Campbell"/>
                    <xsd:enumeration value="A.Chau"/>
                    <xsd:enumeration value="A.Copeland"/>
                    <xsd:enumeration value="A.Corcoran"/>
                    <xsd:enumeration value="A.Coutts"/>
                    <xsd:enumeration value="A.Dean"/>
                    <xsd:enumeration value="A.G.Hopper"/>
                    <xsd:enumeration value="A.Garthwaite"/>
                    <xsd:enumeration value="A.Grant"/>
                    <xsd:enumeration value="A.Hewer"/>
                    <xsd:enumeration value="A.J.Courtney"/>
                    <xsd:enumeration value="A.J.Dean"/>
                    <xsd:enumeration value="A.Kenny"/>
                    <xsd:enumeration value="A.Martin"/>
                    <xsd:enumeration value="A.Mills"/>
                    <xsd:enumeration value="A.Moody"/>
                    <xsd:enumeration value="A.Nicholson"/>
                    <xsd:enumeration value="A.P.Woolmer"/>
                    <xsd:enumeration value="A.R"/>
                    <xsd:enumeration value="A.Revill"/>
                    <xsd:enumeration value="A.S"/>
                    <xsd:enumeration value="A.Santos"/>
                    <xsd:enumeration value="A.Searle"/>
                    <xsd:enumeration value="A.Smith"/>
                    <xsd:enumeration value="A.Steel"/>
                    <xsd:enumeration value="A.Strickland"/>
                    <xsd:enumeration value="A.Thompson"/>
                    <xsd:enumeration value="A.Wilson"/>
                    <xsd:enumeration value="A.Woolmer"/>
                    <xsd:enumeration value="A.Younger"/>
                    <xsd:enumeration value="A.Younger"/>
                    <xsd:enumeration value="Acoura"/>
                    <xsd:enumeration value="Adam Brown"/>
                    <xsd:enumeration value="ADAS"/>
                    <xsd:enumeration value="ADAS Environment"/>
                    <xsd:enumeration value="AFBI"/>
                    <xsd:enumeration value="AGH"/>
                    <xsd:enumeration value="Agri Food and Biosciences Institute"/>
                    <xsd:enumeration value="Alan Dean"/>
                    <xsd:enumeration value="Alan Hayes"/>
                    <xsd:enumeration value="Alex Caveen"/>
                    <xsd:enumeration value="Alexander Schofield"/>
                    <xsd:enumeration value="Alison Austin"/>
                    <xsd:enumeration value="Ana Justel-Rubio"/>
                    <xsd:enumeration value="Ana Witteveen"/>
                    <xsd:enumeration value="Andrew FitzGerald"/>
                    <xsd:enumeration value="ANIFOP"/>
                    <xsd:enumeration value="Anne Cameron"/>
                    <xsd:enumeration value="Anne Wallace"/>
                    <xsd:enumeration value="Anne-Margaret Stewart"/>
                    <xsd:enumeration value="Aquafish Solutions Ltd."/>
                    <xsd:enumeration value="Aquatic Water Services Ltd."/>
                    <xsd:enumeration value="Ardtoe"/>
                    <xsd:enumeration value="Arina Motova"/>
                    <xsd:enumeration value="ASSG"/>
                    <xsd:enumeration value="Association of Port Health Authorities"/>
                    <xsd:enumeration value="Association of Public Analy"/>
                    <xsd:enumeration value="ATM"/>
                    <xsd:enumeration value="B.A"/>
                    <xsd:enumeration value="B.Ashcroft"/>
                    <xsd:enumeration value="B.Greenwood"/>
                    <xsd:enumeration value="B.H"/>
                    <xsd:enumeration value="B.Hughes"/>
                    <xsd:enumeration value="B.Mounce"/>
                    <xsd:enumeration value="B.Scannell"/>
                    <xsd:enumeration value="B.Thain"/>
                    <xsd:enumeration value="B.van Marlen"/>
                    <xsd:enumeration value="B.Wilson"/>
                    <xsd:enumeration value="BFFF"/>
                    <xsd:enumeration value="BHA"/>
                    <xsd:enumeration value="BIM Irish Sea Fisheries Board"/>
                    <xsd:enumeration value="Brahm Insight"/>
                    <xsd:enumeration value="BRC"/>
                    <xsd:enumeration value="British Marine Finfish Association"/>
                    <xsd:enumeration value="Bryony Townhill (Marine Climate Change Impacts Partnership)"/>
                    <xsd:enumeration value="C. Burton"/>
                    <xsd:enumeration value="C.A.Burton"/>
                    <xsd:enumeration value="C.A.Goudey"/>
                    <xsd:enumeration value="C.B"/>
                    <xsd:enumeration value="C.Baker"/>
                    <xsd:enumeration value="C.Brady"/>
                    <xsd:enumeration value="C.C"/>
                    <xsd:enumeration value="C.Carlton"/>
                    <xsd:enumeration value="C.Curr"/>
                    <xsd:enumeration value="C.Cutts"/>
                    <xsd:enumeration value="C.Daniels"/>
                    <xsd:enumeration value="C.E.P.Watson"/>
                    <xsd:enumeration value="C.E.Tucker"/>
                    <xsd:enumeration value="C.F.Jackson"/>
                    <xsd:enumeration value="C.Filippopoulos"/>
                    <xsd:enumeration value="C.Ford"/>
                    <xsd:enumeration value="C.G.S.W"/>
                    <xsd:enumeration value="C.H.Davies"/>
                    <xsd:enumeration value="C.J Cutts"/>
                    <xsd:enumeration value="C.J. Chapman"/>
                    <xsd:enumeration value="C.J.Ellis"/>
                    <xsd:enumeration value="C.Jackson"/>
                    <xsd:enumeration value="C.Knight"/>
                    <xsd:enumeration value="C.Lacamara"/>
                    <xsd:enumeration value="C.Leadley"/>
                    <xsd:enumeration value="C.M. Fortuna"/>
                    <xsd:enumeration value="C.Mazorra de Quero"/>
                    <xsd:enumeration value="C.Nevin"/>
                    <xsd:enumeration value="C.P.Baker"/>
                    <xsd:enumeration value="C.Roberts"/>
                    <xsd:enumeration value="C.Saurel"/>
                    <xsd:enumeration value="C.T.O"/>
                    <xsd:enumeration value="C.T.W.C"/>
                    <xsd:enumeration value="C.T.W.Curr"/>
                    <xsd:enumeration value="C.Tucker"/>
                    <xsd:enumeration value="C.W"/>
                    <xsd:enumeration value="C.Wells"/>
                    <xsd:enumeration value="C.Young"/>
                    <xsd:enumeration value="CA Burton"/>
                    <xsd:enumeration value="Camborne School of Mines"/>
                    <xsd:enumeration value="Campden BRI"/>
                    <xsd:enumeration value="Candida Barbato"/>
                    <xsd:enumeration value="Cardiff Economic Research Associates Ltd"/>
                    <xsd:enumeration value="Catriona Power"/>
                    <xsd:enumeration value="CC"/>
                    <xsd:enumeration value="CCFRA"/>
                    <xsd:enumeration value="Cefas"/>
                    <xsd:enumeration value="Centre for Aquaculture and Fisheries"/>
                    <xsd:enumeration value="CEPW"/>
                    <xsd:enumeration value="CEPW"/>
                    <xsd:enumeration value="CFPO"/>
                    <xsd:enumeration value="Chao Lu"/>
                    <xsd:enumeration value="Chelonia"/>
                    <xsd:enumeration value="China Ministry of Health"/>
                    <xsd:enumeration value="Chris Barbour"/>
                    <xsd:enumeration value="Chris Kirkland"/>
                    <xsd:enumeration value="Clifford A.Goudey"/>
                    <xsd:enumeration value="Clive Monk"/>
                    <xsd:enumeration value="Colin Brodie"/>
                    <xsd:enumeration value="Craig Burton"/>
                    <xsd:enumeration value="Crick Carlton"/>
                    <xsd:enumeration value="Cristina Fernandez"/>
                    <xsd:enumeration value="Cristina Pita"/>
                    <xsd:enumeration value="D. Itano"/>
                    <xsd:enumeration value="D.A"/>
                    <xsd:enumeration value="D.A.Masson"/>
                    <xsd:enumeration value="D.Amos"/>
                    <xsd:enumeration value="D.Amos"/>
                    <xsd:enumeration value="D.Boothroyd"/>
                    <xsd:enumeration value="D.Burdon"/>
                    <xsd:enumeration value="D.Cashmore"/>
                    <xsd:enumeration value="D.Cole"/>
                    <xsd:enumeration value="D.Cook"/>
                    <xsd:enumeration value="D.E.Ballam"/>
                    <xsd:enumeration value="D.Edwards"/>
                    <xsd:enumeration value="D.Elliot"/>
                    <xsd:enumeration value="D.G"/>
                    <xsd:enumeration value="D.Gowland"/>
                    <xsd:enumeration value="D.H"/>
                    <xsd:enumeration value="D.Harrison"/>
                    <xsd:enumeration value="D.Homer"/>
                    <xsd:enumeration value="D.Hornerm"/>
                    <xsd:enumeration value="D.J.Wood"/>
                    <xsd:enumeration value="D.L"/>
                    <xsd:enumeration value="D.Marshall"/>
                    <xsd:enumeration value="D.Miles"/>
                    <xsd:enumeration value="D.Miller"/>
                    <xsd:enumeration value="D.Oakes"/>
                    <xsd:enumeration value="D.P"/>
                    <xsd:enumeration value="D.Patterson"/>
                    <xsd:enumeration value="D.Pirie"/>
                    <xsd:enumeration value="D.Robertson"/>
                    <xsd:enumeration value="D.S"/>
                    <xsd:enumeration value="D.Steel"/>
                    <xsd:enumeration value="D.Sykes"/>
                    <xsd:enumeration value="D.Symes"/>
                    <xsd:enumeration value="D.Taylor"/>
                    <xsd:enumeration value="D.Tocher"/>
                    <xsd:enumeration value="D.W"/>
                    <xsd:enumeration value="D.Wood"/>
                    <xsd:enumeration value="D.Woods"/>
                    <xsd:enumeration value="Daniel Lee"/>
                    <xsd:enumeration value="Daniel McDonald"/>
                    <xsd:enumeration value="Daragh Browne"/>
                    <xsd:enumeration value="Darren Stevenson, Legal Director at Wiggin LLP"/>
                    <xsd:enumeration value="Dave Dewick"/>
                    <xsd:enumeration value="Dave Price"/>
                    <xsd:enumeration value="David Parish"/>
                    <xsd:enumeration value="David Parker"/>
                    <xsd:enumeration value="David Russell"/>
                    <xsd:enumeration value="David Sterling"/>
                    <xsd:enumeration value="Dawby"/>
                    <xsd:enumeration value="Dawn Sneddon"/>
                    <xsd:enumeration value="Dean Millar"/>
                    <xsd:enumeration value="Defra"/>
                    <xsd:enumeration value="DIFRES"/>
                    <xsd:enumeration value="DIFTA"/>
                    <xsd:enumeration value="DIFTA Denmark"/>
                    <xsd:enumeration value="DoH"/>
                    <xsd:enumeration value="Doug McLeod"/>
                    <xsd:enumeration value="Dr B. McAdam (Stirling University)"/>
                    <xsd:enumeration value="Dr J. Harman"/>
                    <xsd:enumeration value="Dr J. Pinnegar (CEFAS"/>
                    <xsd:enumeration value="Dr L. Falconer"/>
                    <xsd:enumeration value="Dr Stewart Brown (Stewart Brown Associates Ltd)"/>
                    <xsd:enumeration value="Dr T. Telfer"/>
                    <xsd:enumeration value="Dr Tom Pickerell (Tomolamola Consulting Ltd)"/>
                    <xsd:enumeration value="Dr. A.R.Hearn"/>
                    <xsd:enumeration value="Dr. Alan Heyworth"/>
                    <xsd:enumeration value="Dr. Alex Caveen"/>
                    <xsd:enumeration value="Dr. Andrew Jackson"/>
                    <xsd:enumeration value="Dr. Andrew Woolmer"/>
                    <xsd:enumeration value="Dr. Andy Revill"/>
                    <xsd:enumeration value="Dr. Angus Garrett"/>
                    <xsd:enumeration value="Dr. Annika Clements"/>
                    <xsd:enumeration value="Dr. Bill Roy"/>
                    <xsd:enumeration value="Dr. D.Robertson"/>
                    <xsd:enumeration value="Dr. E.Fossey"/>
                    <xsd:enumeration value="Dr. Edwards"/>
                    <xsd:enumeration value="Dr. Eric Edwards"/>
                    <xsd:enumeration value="Dr. Francis Murray"/>
                    <xsd:enumeration value="Dr. Hilmar Hinz"/>
                    <xsd:enumeration value="Dr. I.T.Mentjes"/>
                    <xsd:enumeration value="Dr. J.Sheperd"/>
                    <xsd:enumeration value="Dr. James Bron"/>
                    <xsd:enumeration value="Dr. James Treasurer"/>
                    <xsd:enumeration value="Dr. Jan G.Hiddink"/>
                    <xsd:enumeration value="Dr. Jim Treasurer, Dr T Atack"/>
                    <xsd:enumeration value="Dr. John Pinnegar"/>
                    <xsd:enumeration value="Dr. Jon Harman"/>
                    <xsd:enumeration value="Dr. M.Mühling"/>
                    <xsd:enumeration value="Dr. Matt Service"/>
                    <xsd:enumeration value="Dr. N.Lake"/>
                    <xsd:enumeration value="Dr. Rachel Burch"/>
                    <xsd:enumeration value="Dr. S.Davies"/>
                    <xsd:enumeration value="Dr. S.E.Taylor"/>
                    <xsd:enumeration value="E.Allison"/>
                    <xsd:enumeration value="E.Cochrane"/>
                    <xsd:enumeration value="E.Edwards"/>
                    <xsd:enumeration value="E.Fossey"/>
                    <xsd:enumeration value="E.Maxwell"/>
                    <xsd:enumeration value="E.Nicholls"/>
                    <xsd:enumeration value="E.W.Taylor"/>
                    <xsd:enumeration value="EA"/>
                    <xsd:enumeration value="Emi Katoh"/>
                    <xsd:enumeration value="Emma Bradshaw"/>
                    <xsd:enumeration value="Emma Brown"/>
                    <xsd:enumeration value="Emma White"/>
                    <xsd:enumeration value="Enrico Longoni"/>
                    <xsd:enumeration value="Epsom"/>
                    <xsd:enumeration value="Erik Lindebo"/>
                    <xsd:enumeration value="Eunice Pinn"/>
                    <xsd:enumeration value="Eurographic Ltd"/>
                    <xsd:enumeration value="European Food Safety Authority"/>
                    <xsd:enumeration value="F. De Carlo"/>
                    <xsd:enumeration value="F. Forget"/>
                    <xsd:enumeration value="F.Chopin"/>
                    <xsd:enumeration value="F.Dixon"/>
                    <xsd:enumeration value="F.Nimmo"/>
                    <xsd:enumeration value="Fanming Kong"/>
                    <xsd:enumeration value="FERU"/>
                    <xsd:enumeration value="FHF"/>
                    <xsd:enumeration value="Fiona Birch"/>
                    <xsd:enumeration value="Fiona Wright"/>
                    <xsd:enumeration value="Fisheries Research Services"/>
                    <xsd:enumeration value="Fishing News"/>
                    <xsd:enumeration value="FISHupdate"/>
                    <xsd:enumeration value="FPKTN"/>
                    <xsd:enumeration value="Francis Murray"/>
                    <xsd:enumeration value="Francisco Areal"/>
                    <xsd:enumeration value="Frank Armstrong"/>
                    <xsd:enumeration value="FRM Ltd."/>
                    <xsd:enumeration value="G McAllister"/>
                    <xsd:enumeration value="G. Moreno"/>
                    <xsd:enumeration value="G.A.Garthwaite"/>
                    <xsd:enumeration value="G.A.Webb"/>
                    <xsd:enumeration value="G.Bell"/>
                    <xsd:enumeration value="G.C"/>
                    <xsd:enumeration value="G.C.E"/>
                    <xsd:enumeration value="G.Cartwright"/>
                    <xsd:enumeration value="G.Course"/>
                    <xsd:enumeration value="G.Dunlin"/>
                    <xsd:enumeration value="G.Eveillard"/>
                    <xsd:enumeration value="G.F.Jackson"/>
                    <xsd:enumeration value="G.Gough"/>
                    <xsd:enumeration value="G.Mack"/>
                    <xsd:enumeration value="G.McKay"/>
                    <xsd:enumeration value="G.McLeod"/>
                    <xsd:enumeration value="G.P.Arnold"/>
                    <xsd:enumeration value="G.P.Course"/>
                    <xsd:enumeration value="G.Ritchie"/>
                    <xsd:enumeration value="G.Salze"/>
                    <xsd:enumeration value="G.Ward"/>
                    <xsd:enumeration value="Gang Wang"/>
                    <xsd:enumeration value="Gary Dunlin"/>
                    <xsd:enumeration value="Gary Hooper"/>
                    <xsd:enumeration value="Gavin Hatton"/>
                    <xsd:enumeration value="GC"/>
                    <xsd:enumeration value="GDCL"/>
                    <xsd:enumeration value="GMAV"/>
                    <xsd:enumeration value="Gordon Goldsworthy"/>
                    <xsd:enumeration value="Gorkana Group"/>
                    <xsd:enumeration value="Graham Pierce"/>
                    <xsd:enumeration value="GREAT"/>
                    <xsd:enumeration value="Gunnar Þórðarson"/>
                    <xsd:enumeration value="H.E.Bullock"/>
                    <xsd:enumeration value="H.English"/>
                    <xsd:enumeration value="H.McDiarmid"/>
                    <xsd:enumeration value="H.Q"/>
                    <xsd:enumeration value="H.R. Day"/>
                    <xsd:enumeration value="H.R.English"/>
                    <xsd:enumeration value="H.Ritchings"/>
                    <xsd:enumeration value="H.Teepsoo"/>
                    <xsd:enumeration value="H.W"/>
                    <xsd:enumeration value="Hannah Fawcett"/>
                    <xsd:enumeration value="Hannah Shaw"/>
                    <xsd:enumeration value="Hannah Thompson"/>
                    <xsd:enumeration value="Hazel Curtis"/>
                    <xsd:enumeration value="Hazel McShane"/>
                    <xsd:enumeration value="Heat &amp; Power Ltd."/>
                    <xsd:enumeration value="Heather Forbes"/>
                    <xsd:enumeration value="Heather Middleton"/>
                    <xsd:enumeration value="Helen Duggan"/>
                    <xsd:enumeration value="Hepples"/>
                    <xsd:enumeration value="Hilmar Hinz"/>
                    <xsd:enumeration value="HQ"/>
                    <xsd:enumeration value="HRE"/>
                    <xsd:enumeration value="Humber Seafood Institute"/>
                    <xsd:enumeration value="Humberside College of Higher Education"/>
                    <xsd:enumeration value="Hunterston"/>
                    <xsd:enumeration value="I. Berrill"/>
                    <xsd:enumeration value="I.F"/>
                    <xsd:enumeration value="I.Finley"/>
                    <xsd:enumeration value="I.Graham"/>
                    <xsd:enumeration value="I.Milligan"/>
                    <xsd:enumeration value="I.Tatterson"/>
                    <xsd:enumeration value="Iain Berrill (Scottish Salmon Producers Organisation)"/>
                    <xsd:enumeration value="Ian Laing"/>
                    <xsd:enumeration value="ICF"/>
                    <xsd:enumeration value="IFREMER France"/>
                    <xsd:enumeration value="Institute of Aquaculture, University of Stirling"/>
                    <xsd:enumeration value="Institute of Estuarine &amp; Coastal Studies, University of Hull"/>
                    <xsd:enumeration value="International Council for the Exploration of the Sea"/>
                    <xsd:enumeration value="International Society for the Study of Fatty Acids and Lipids"/>
                    <xsd:enumeration value="Ivan Bartolo"/>
                    <xsd:enumeration value="J.A"/>
                    <xsd:enumeration value="J.A.Shalliker"/>
                    <xsd:enumeration value="J.A.Upfield"/>
                    <xsd:enumeration value="J.Anderson"/>
                    <xsd:enumeration value="J.B.R"/>
                    <xsd:enumeration value="J.C"/>
                    <xsd:enumeration value="J.Carrick"/>
                    <xsd:enumeration value="J.Combes"/>
                    <xsd:enumeration value="J.D. Paul"/>
                    <xsd:enumeration value="J.D. Wood"/>
                    <xsd:enumeration value="J.D.Paul"/>
                    <xsd:enumeration value="J.D.Wood"/>
                    <xsd:enumeration value="J.Dunlop"/>
                    <xsd:enumeration value="J.E.B"/>
                    <xsd:enumeration value="J.E.D"/>
                    <xsd:enumeration value="J.E.Dye"/>
                    <xsd:enumeration value="J.E.Tumilty"/>
                    <xsd:enumeration value="J.Early"/>
                    <xsd:enumeration value="J.Eddom"/>
                    <xsd:enumeration value="J.Evans"/>
                    <xsd:enumeration value="J.Foster"/>
                    <xsd:enumeration value="J.Frederickson"/>
                    <xsd:enumeration value="J.Gascoigne"/>
                    <xsd:enumeration value="J.Grant"/>
                    <xsd:enumeration value="J.Grant"/>
                    <xsd:enumeration value="J.H.Brown"/>
                    <xsd:enumeration value="J.Harman"/>
                    <xsd:enumeration value="J.Hatchard"/>
                    <xsd:enumeration value="J.L.R"/>
                    <xsd:enumeration value="J.L.Robertson"/>
                    <xsd:enumeration value="J.Lansley"/>
                    <xsd:enumeration value="J.Lart"/>
                    <xsd:enumeration value="J.Lewis"/>
                    <xsd:enumeration value="J.M"/>
                    <xsd:enumeration value="J.M.Tower"/>
                    <xsd:enumeration value="J.M.Watson"/>
                    <xsd:enumeration value="J.MacMillan"/>
                    <xsd:enumeration value="J.MacNamara"/>
                    <xsd:enumeration value="J.May"/>
                    <xsd:enumeration value="J.McMillan"/>
                    <xsd:enumeration value="J.McNamara"/>
                    <xsd:enumeration value="J.Mikolajunas"/>
                    <xsd:enumeration value="J.Moore"/>
                    <xsd:enumeration value="J.Morris"/>
                    <xsd:enumeration value="J.N.Ward"/>
                    <xsd:enumeration value="J.NcNamara"/>
                    <xsd:enumeration value="J.Paul"/>
                    <xsd:enumeration value="J.R.Dye"/>
                    <xsd:enumeration value="J.R.Gifford"/>
                    <xsd:enumeration value="J.Rice"/>
                    <xsd:enumeration value="J.Rycroft"/>
                    <xsd:enumeration value="J.S"/>
                    <xsd:enumeration value="J.S.S"/>
                    <xsd:enumeration value="J.S.Saether"/>
                    <xsd:enumeration value="J.Shalliker"/>
                    <xsd:enumeration value="J.Sherwood"/>
                    <xsd:enumeration value="J.Slater"/>
                    <xsd:enumeration value="J.Smith"/>
                    <xsd:enumeration value="J.Swarbrick"/>
                    <xsd:enumeration value="J.T"/>
                    <xsd:enumeration value="J.T.Bryson"/>
                    <xsd:enumeration value="J.T.MacMillan"/>
                    <xsd:enumeration value="J.Tower"/>
                    <xsd:enumeration value="J.Treasurer"/>
                    <xsd:enumeration value="J.Tumilty"/>
                    <xsd:enumeration value="J.Upfield"/>
                    <xsd:enumeration value="J.W"/>
                    <xsd:enumeration value="J.W"/>
                    <xsd:enumeration value="J.W.Denton"/>
                    <xsd:enumeration value="J.Waterman"/>
                    <xsd:enumeration value="J.Watson"/>
                    <xsd:enumeration value="Jack Sewell"/>
                    <xsd:enumeration value="James Warwick"/>
                    <xsd:enumeration value="Jason Combes"/>
                    <xsd:enumeration value="Jennifer Russell"/>
                    <xsd:enumeration value="Jennifer Smith"/>
                    <xsd:enumeration value="Jeremy Sparks"/>
                    <xsd:enumeration value="Jim Ellis"/>
                    <xsd:enumeration value="Jim Hyam"/>
                    <xsd:enumeration value="Joe Cooper"/>
                    <xsd:enumeration value="John Anderson"/>
                    <xsd:enumeration value="John Barrington"/>
                    <xsd:enumeration value="John Cotter"/>
                    <xsd:enumeration value="John Foster"/>
                    <xsd:enumeration value="John Hambrey"/>
                    <xsd:enumeration value="John Hingley"/>
                    <xsd:enumeration value="John Lancaster"/>
                    <xsd:enumeration value="John O.S. Kennedy"/>
                    <xsd:enumeration value="John Richardson"/>
                    <xsd:enumeration value="John Wakeford"/>
                    <xsd:enumeration value="Jonas R.Vidarsson"/>
                    <xsd:enumeration value="José L. González Vecino"/>
                    <xsd:enumeration value="JSS"/>
                    <xsd:enumeration value="Julia Brooks"/>
                    <xsd:enumeration value="Julian Swarbrick"/>
                    <xsd:enumeration value="Julie Snowden"/>
                    <xsd:enumeration value="K.Adamson"/>
                    <xsd:enumeration value="K.Anderson"/>
                    <xsd:enumeration value="K.Arkley"/>
                    <xsd:enumeration value="K.C"/>
                    <xsd:enumeration value="K.C.Munday"/>
                    <xsd:enumeration value="K.D.Thompson"/>
                    <xsd:enumeration value="K.Day"/>
                    <xsd:enumeration value="K.Dye"/>
                    <xsd:enumeration value="K.Galloway"/>
                    <xsd:enumeration value="K.Graham"/>
                    <xsd:enumeration value="K.H"/>
                    <xsd:enumeration value="K.H.Haywood"/>
                    <xsd:enumeration value="K.Hairsine"/>
                    <xsd:enumeration value="K.Knox"/>
                    <xsd:enumeration value="K.Mazik"/>
                    <xsd:enumeration value="K.Singh"/>
                    <xsd:enumeration value="K.T.H"/>
                    <xsd:enumeration value="K.T.Howard"/>
                    <xsd:enumeration value="K.Tsontos"/>
                    <xsd:enumeration value="K.Waind"/>
                    <xsd:enumeration value="Karen Galloway"/>
                    <xsd:enumeration value="Karen Green"/>
                    <xsd:enumeration value="Karin Lüdemann/Wissenschaftsbüro"/>
                    <xsd:enumeration value="Kasia Kazimierczak"/>
                    <xsd:enumeration value="Kath Floater"/>
                    <xsd:enumeration value="Keith Hiscock"/>
                    <xsd:enumeration value="Keith Jeffrey"/>
                    <xsd:enumeration value="Ken Arkley"/>
                    <xsd:enumeration value="Kieran Westbrook"/>
                    <xsd:enumeration value="Kimberly Cullen"/>
                    <xsd:enumeration value="Kingfisher Information Services"/>
                    <xsd:enumeration value="Kirsten Milliken"/>
                    <xsd:enumeration value="KPMG AS"/>
                    <xsd:enumeration value="L Ridley"/>
                    <xsd:enumeration value="L. Dagorn"/>
                    <xsd:enumeration value="L.C.Ford"/>
                    <xsd:enumeration value="L.E.Hull"/>
                    <xsd:enumeration value="L.Ford"/>
                    <xsd:enumeration value="L.Hinchliff"/>
                    <xsd:enumeration value="L.Oxley"/>
                    <xsd:enumeration value="L.Pell"/>
                    <xsd:enumeration value="L.Readdy"/>
                    <xsd:enumeration value="L.Rooney"/>
                    <xsd:enumeration value="L.Webb"/>
                    <xsd:enumeration value="LACOTS"/>
                    <xsd:enumeration value="Laurence Rooney"/>
                    <xsd:enumeration value="Leatherhead Food Research"/>
                    <xsd:enumeration value="Lee Cocker"/>
                    <xsd:enumeration value="Lee Cooper"/>
                    <xsd:enumeration value="Lee Hastie"/>
                    <xsd:enumeration value="LEH"/>
                    <xsd:enumeration value="Leslsie Tait"/>
                    <xsd:enumeration value="Lewis Cowie"/>
                    <xsd:enumeration value="Lina-Lotta Lahdenkauppi"/>
                    <xsd:enumeration value="Liu Liping Sang Yanhua"/>
                    <xsd:enumeration value="Llyn Aquaculture Ltd."/>
                    <xsd:enumeration value="Loch Fyne Seafarms"/>
                    <xsd:enumeration value="LOCTS"/>
                    <xsd:enumeration value="Lorena Recio"/>
                    <xsd:enumeration value="Louise Jones"/>
                    <xsd:enumeration value="Louise Vaughan"/>
                    <xsd:enumeration value="Luis Cocas"/>
                    <xsd:enumeration value="Lynn Gilmore"/>
                    <xsd:enumeration value="M. Virgili"/>
                    <xsd:enumeration value="M.A.James"/>
                    <xsd:enumeration value="M.Anyadiegwu"/>
                    <xsd:enumeration value="M.Boulter"/>
                    <xsd:enumeration value="M.C.Platt"/>
                    <xsd:enumeration value="M.D"/>
                    <xsd:enumeration value="M.Daniels"/>
                    <xsd:enumeration value="M.Ellis"/>
                    <xsd:enumeration value="M.Emberton"/>
                    <xsd:enumeration value="M.George"/>
                    <xsd:enumeration value="M.Gillespie"/>
                    <xsd:enumeration value="M.Gray"/>
                    <xsd:enumeration value="M.H"/>
                    <xsd:enumeration value="M.Hamilton"/>
                    <xsd:enumeration value="M.Hatfield"/>
                    <xsd:enumeration value="M.Hayward"/>
                    <xsd:enumeration value="M.Humphrey"/>
                    <xsd:enumeration value="M.J.Campbell"/>
                    <xsd:enumeration value="M.J.Kaiser"/>
                    <xsd:enumeration value="M.J.S.G"/>
                    <xsd:enumeration value="M.James"/>
                    <xsd:enumeration value="M.Large"/>
                    <xsd:enumeration value="M.Lawton"/>
                    <xsd:enumeration value="M.Learmouth"/>
                    <xsd:enumeration value="M.M"/>
                    <xsd:enumeration value="M.Moore"/>
                    <xsd:enumeration value="M.Myers"/>
                    <xsd:enumeration value="M.Platt"/>
                    <xsd:enumeration value="M.Sturges"/>
                    <xsd:enumeration value="M.Syvret"/>
                    <xsd:enumeration value="M.Urch"/>
                    <xsd:enumeration value="M.Whitworth"/>
                    <xsd:enumeration value="MacMullen"/>
                    <xsd:enumeration value="Mafalda Viana"/>
                    <xsd:enumeration value="MAFF"/>
                    <xsd:enumeration value="Magnus L. Johnson"/>
                    <xsd:enumeration value="Malcolm Large"/>
                    <xsd:enumeration value="Mandy Pyke"/>
                    <xsd:enumeration value="Mao Hong"/>
                    <xsd:enumeration value="Marcus Jacklin"/>
                    <xsd:enumeration value="Marine and Coastguard Agency"/>
                    <xsd:enumeration value="Marine Stewardship Council"/>
                    <xsd:enumeration value="Marine Survey"/>
                    <xsd:enumeration value="MARITEK WORLDWIDE LTD"/>
                    <xsd:enumeration value="Mark Edmonds"/>
                    <xsd:enumeration value="Mark Gray"/>
                    <xsd:enumeration value="Mark O’Brien"/>
                    <xsd:enumeration value="Market Insight Team"/>
                    <xsd:enumeration value="Marta Moran Quintana"/>
                    <xsd:enumeration value="Martin Bowes"/>
                    <xsd:enumeration value="Martin Jaffa"/>
                    <xsd:enumeration value="Martin Syvret"/>
                    <xsd:enumeration value="Matthew Service"/>
                    <xsd:enumeration value="Melissa Pritchard"/>
                    <xsd:enumeration value="MH"/>
                    <xsd:enumeration value="Michael Bacon"/>
                    <xsd:enumeration value="Michael Humphrey"/>
                    <xsd:enumeration value="Michael Keatinge"/>
                    <xsd:enumeration value="Michaela Archer"/>
                    <xsd:enumeration value="Michel J.Kaiser"/>
                    <xsd:enumeration value="Mike Mitchell"/>
                    <xsd:enumeration value="Mike Montgomerie"/>
                    <xsd:enumeration value="Mike Park"/>
                    <xsd:enumeration value="Mike Smith"/>
                    <xsd:enumeration value="MRAG"/>
                    <xsd:enumeration value="Ms Amy Ridgeway"/>
                    <xsd:enumeration value="MTS"/>
                    <xsd:enumeration value="N Bailey"/>
                    <xsd:enumeration value="N.A.G"/>
                    <xsd:enumeration value="N.C.H.Lake"/>
                    <xsd:enumeration value="N.Downing"/>
                    <xsd:enumeration value="N.Garbutt"/>
                    <xsd:enumeration value="N.Graham"/>
                    <xsd:enumeration value="N.Hatfield"/>
                    <xsd:enumeration value="N.Kelly"/>
                    <xsd:enumeration value="N.M.K"/>
                    <xsd:enumeration value="N.M.Kerr"/>
                    <xsd:enumeration value="N.McEwan"/>
                    <xsd:enumeration value="N.McKeller"/>
                    <xsd:enumeration value="N.R.Halford"/>
                    <xsd:enumeration value="N.Ward"/>
                    <xsd:enumeration value="N.Whiteley"/>
                    <xsd:enumeration value="N.Wood"/>
                    <xsd:enumeration value="NAFC Marine Centre"/>
                    <xsd:enumeration value="Naomi McCann"/>
                    <xsd:enumeration value="Nathan de Rozarieux"/>
                    <xsd:enumeration value="National Health and Family Planning Commission"/>
                    <xsd:enumeration value="Nautilus Consultants"/>
                    <xsd:enumeration value="NFFO Services Ltd."/>
                    <xsd:enumeration value="NI Seafood Ind"/>
                    <xsd:enumeration value="Nia Whiteley"/>
                    <xsd:enumeration value="Nick Connelly"/>
                    <xsd:enumeration value="Nick Patience"/>
                    <xsd:enumeration value="Nofima"/>
                    <xsd:enumeration value="Norge"/>
                    <xsd:enumeration value="Norman"/>
                    <xsd:enumeration value="North Bay Shellfish Ltd"/>
                    <xsd:enumeration value="Northern Ireland Seafood"/>
                    <xsd:enumeration value="Not known"/>
                    <xsd:enumeration value="NSL"/>
                    <xsd:enumeration value="OceanWatch Australia"/>
                    <xsd:enumeration value="Oliver Tulley"/>
                    <xsd:enumeration value="Omnimas"/>
                    <xsd:enumeration value="Oscar Wilkie"/>
                    <xsd:enumeration value="Othniel Shellfish"/>
                    <xsd:enumeration value="P Gibson"/>
                    <xsd:enumeration value="P. Tyedmers (Dalhousie University)"/>
                    <xsd:enumeration value="P.B.Gallacher"/>
                    <xsd:enumeration value="P.Baird"/>
                    <xsd:enumeration value="P.Brown"/>
                    <xsd:enumeration value="P.C.Smith"/>
                    <xsd:enumeration value="P.D.Chaplin"/>
                    <xsd:enumeration value="P.G"/>
                    <xsd:enumeration value="P.G.W"/>
                    <xsd:enumeration value="P.Gatland"/>
                    <xsd:enumeration value="P.H.B"/>
                    <xsd:enumeration value="P.H.MacMullen"/>
                    <xsd:enumeration value="P.J.G"/>
                    <xsd:enumeration value="P.J.Hearn"/>
                    <xsd:enumeration value="P.Johnson"/>
                    <xsd:enumeration value="P.L. Newland"/>
                    <xsd:enumeration value="P.L.S"/>
                    <xsd:enumeration value="P.L.Smith"/>
                    <xsd:enumeration value="P.MacMullen"/>
                    <xsd:enumeration value="P.Math's"/>
                    <xsd:enumeration value="P.N"/>
                    <xsd:enumeration value="P.Neve"/>
                    <xsd:enumeration value="P.Posen"/>
                    <xsd:enumeration value="P.Prout"/>
                    <xsd:enumeration value="P.S"/>
                    <xsd:enumeration value="P.Smith"/>
                    <xsd:enumeration value="P.T.Franklin"/>
                    <xsd:enumeration value="P.Tiffney"/>
                    <xsd:enumeration value="P.Townend"/>
                    <xsd:enumeration value="P.V"/>
                    <xsd:enumeration value="P.W"/>
                    <xsd:enumeration value="P.Watson"/>
                    <xsd:enumeration value="P.Watts"/>
                    <xsd:enumeration value="P.White"/>
                    <xsd:enumeration value="P.Wilson"/>
                    <xsd:enumeration value="P.Wood"/>
                    <xsd:enumeration value="Paul Buckley (Marine Climate Change Impacts Partnership)"/>
                    <xsd:enumeration value="Paul Butler"/>
                    <xsd:enumeration value="Paul Medley"/>
                    <xsd:enumeration value="Paul Neve"/>
                    <xsd:enumeration value="Peter Tarrant"/>
                    <xsd:enumeration value="Peter Tyndall"/>
                    <xsd:enumeration value="Peter Walker"/>
                    <xsd:enumeration value="Peter Warren"/>
                    <xsd:enumeration value="Peter Wilson"/>
                    <xsd:enumeration value="Phil MacMullen"/>
                    <xsd:enumeration value="Phil Prout"/>
                    <xsd:enumeration value="Phillip Quirie"/>
                    <xsd:enumeration value="Pingguo He"/>
                    <xsd:enumeration value="PIRA"/>
                    <xsd:enumeration value="PIRA International"/>
                    <xsd:enumeration value="PJH"/>
                    <xsd:enumeration value="Platt"/>
                    <xsd:enumeration value="Plymouth Poly"/>
                    <xsd:enumeration value="Porter"/>
                    <xsd:enumeration value="Poseidon Aquatic Resource Management Ltd."/>
                    <xsd:enumeration value="Poseidon ARM and BTS"/>
                    <xsd:enumeration value="Prof. Michel J.Kaiser"/>
                    <xsd:enumeration value="Professor Laurence Mee"/>
                    <xsd:enumeration value="PT"/>
                    <xsd:enumeration value="Pyke and Deane Aquaculture Consultants"/>
                    <xsd:enumeration value="Qiang Weiguo"/>
                    <xsd:enumeration value="Qing Lv"/>
                    <xsd:enumeration value="Quality Assurance Department"/>
                    <xsd:enumeration value="R J Fryer"/>
                    <xsd:enumeration value="R J Kynoch"/>
                    <xsd:enumeration value="R Johnson"/>
                    <xsd:enumeration value="R S T Ferro"/>
                    <xsd:enumeration value="R. Land"/>
                    <xsd:enumeration value="R. Parker (Dalhousie University)"/>
                    <xsd:enumeration value="R.A.Reese"/>
                    <xsd:enumeration value="R.B.Watt"/>
                    <xsd:enumeration value="R.Bennett"/>
                    <xsd:enumeration value="R.Boyle"/>
                    <xsd:enumeration value="R.Bricknell"/>
                    <xsd:enumeration value="R.C"/>
                    <xsd:enumeration value="R.C"/>
                    <xsd:enumeration value="R.Campbell"/>
                    <xsd:enumeration value="R.Cappell"/>
                    <xsd:enumeration value="R.Curtis"/>
                    <xsd:enumeration value="R.D.E"/>
                    <xsd:enumeration value="R.E"/>
                    <xsd:enumeration value="R.Ellis"/>
                    <xsd:enumeration value="R.Enever"/>
                    <xsd:enumeration value="R.F"/>
                    <xsd:enumeration value="R.F.V"/>
                    <xsd:enumeration value="R.Finbow"/>
                    <xsd:enumeration value="R.Forster"/>
                    <xsd:enumeration value="R.Gara"/>
                    <xsd:enumeration value="R.H"/>
                    <xsd:enumeration value="R.Hill"/>
                    <xsd:enumeration value="R.Horton"/>
                    <xsd:enumeration value="R.J"/>
                    <xsd:enumeration value="R.J.A. Nichol"/>
                    <xsd:enumeration value="R.J.A.N"/>
                    <xsd:enumeration value="R.J.A.Nicholson"/>
                    <xsd:enumeration value="R.J.Shields"/>
                    <xsd:enumeration value="R.J.Slaski"/>
                    <xsd:enumeration value="R.Johnson"/>
                    <xsd:enumeration value="R.L"/>
                    <xsd:enumeration value="R.Leach"/>
                    <xsd:enumeration value="R.Lee"/>
                    <xsd:enumeration value="R.McCormack"/>
                    <xsd:enumeration value="R.McK"/>
                    <xsd:enumeration value="R.McM"/>
                    <xsd:enumeration value="R.Mounce"/>
                    <xsd:enumeration value="R.N"/>
                    <xsd:enumeration value="R.Nicholson"/>
                    <xsd:enumeration value="R.Pryor"/>
                    <xsd:enumeration value="R.S Batty"/>
                    <xsd:enumeration value="R.S.Horton"/>
                    <xsd:enumeration value="R.S.Mounce"/>
                    <xsd:enumeration value="R.S.T.Ferro"/>
                    <xsd:enumeration value="R.S.Walker"/>
                    <xsd:enumeration value="R.Seidel"/>
                    <xsd:enumeration value="R.Slaski"/>
                    <xsd:enumeration value="R.Uglow"/>
                    <xsd:enumeration value="R.W.Ellis"/>
                    <xsd:enumeration value="R.White"/>
                    <xsd:enumeration value="R.Whiteley"/>
                    <xsd:enumeration value="Rannva Danielsen"/>
                    <xsd:enumeration value="RB"/>
                    <xsd:enumeration value="Rebecca Harris"/>
                    <xsd:enumeration value="Richard Briggs"/>
                    <xsd:enumeration value="Richard Caslake"/>
                    <xsd:enumeration value="Richard Curtin"/>
                    <xsd:enumeration value="Richard L Shelmerdine"/>
                    <xsd:enumeration value="Richard Wardell"/>
                    <xsd:enumeration value="Richard Watson"/>
                    <xsd:enumeration value="RJA"/>
                    <xsd:enumeration value="Rjan"/>
                    <xsd:enumeration value="Rjan"/>
                    <xsd:enumeration value="RML Gratacap"/>
                    <xsd:enumeration value="Rob Tinch"/>
                    <xsd:enumeration value="Robert Clark"/>
                    <xsd:enumeration value="Robert Dawe"/>
                    <xsd:enumeration value="Robert Gillett"/>
                    <xsd:enumeration value="Robert Young"/>
                    <xsd:enumeration value="Rod Cappell"/>
                    <xsd:enumeration value="Roger B. Larsen"/>
                    <xsd:enumeration value="Roger Plant"/>
                    <xsd:enumeration value="Ronán Cosgrove"/>
                    <xsd:enumeration value="Roy Sutherland"/>
                    <xsd:enumeration value="RvZ"/>
                    <xsd:enumeration value="S M Anton"/>
                    <xsd:enumeration value="S. Anton (Seafish)"/>
                    <xsd:enumeration value="S.A.Horsfall"/>
                    <xsd:enumeration value="S.Antezana"/>
                    <xsd:enumeration value="S.Anton"/>
                    <xsd:enumeration value="S.Bark"/>
                    <xsd:enumeration value="S.D.Utting"/>
                    <xsd:enumeration value="S.Fiddy"/>
                    <xsd:enumeration value="S.H"/>
                    <xsd:enumeration value="S.Hepples"/>
                    <xsd:enumeration value="S.Hookam"/>
                    <xsd:enumeration value="S.Horsfall"/>
                    <xsd:enumeration value="S.K"/>
                    <xsd:enumeration value="S.Kingwell"/>
                    <xsd:enumeration value="S.Macinko"/>
                    <xsd:enumeration value="S.Metz"/>
                    <xsd:enumeration value="S.Millar"/>
                    <xsd:enumeration value="S.R"/>
                    <xsd:enumeration value="S.Ross-Smith"/>
                    <xsd:enumeration value="S.Shepherd"/>
                    <xsd:enumeration value="S.Sheppard Fidler"/>
                    <xsd:enumeration value="S.T.H"/>
                    <xsd:enumeration value="S.Walmsley"/>
                    <xsd:enumeration value="S.Wyman"/>
                    <xsd:enumeration value="S.Xu"/>
                    <xsd:enumeration value="SAGB"/>
                    <xsd:enumeration value="Sam Rush"/>
                    <xsd:enumeration value="Samuel Shephard"/>
                    <xsd:enumeration value="Sansanee Wangvoralak"/>
                    <xsd:enumeration value="Sarah Horsfall"/>
                    <xsd:enumeration value="SC Mangi"/>
                    <xsd:enumeration value="Scottish Association for Marine Science"/>
                    <xsd:enumeration value="Sea Fish Industrial Development Unit"/>
                    <xsd:enumeration value="Sea Fish Industry Authority"/>
                    <xsd:enumeration value="Seafish"/>
                    <xsd:enumeration value="Seafish Aquaculture"/>
                    <xsd:enumeration value="Seafish Corporate Comms"/>
                    <xsd:enumeration value="Seafish Economics"/>
                    <xsd:enumeration value="Seafish Gear Technology"/>
                    <xsd:enumeration value="Seafish Industrial Development Unit"/>
                    <xsd:enumeration value="Seafish Legislation"/>
                    <xsd:enumeration value="Seafish Marine Services"/>
                    <xsd:enumeration value="Seafish Market Insight"/>
                    <xsd:enumeration value="Seafish Marketing"/>
                    <xsd:enumeration value="Seafish Marketing and Reynier Research Ltd."/>
                    <xsd:enumeration value="Seafish Marketing Communications"/>
                    <xsd:enumeration value="Seafish R &amp; D"/>
                    <xsd:enumeration value="Seafish Technology"/>
                    <xsd:enumeration value="Seafish Training"/>
                    <xsd:enumeration value="Seafood 2040"/>
                    <xsd:enumeration value="Seafood Scotland"/>
                    <xsd:enumeration value="Sébastien Metz"/>
                    <xsd:enumeration value="SFIA"/>
                    <xsd:enumeration value="SFIA Hull"/>
                    <xsd:enumeration value="SFIA Industrial Development Unit"/>
                    <xsd:enumeration value="Shaoping Gu"/>
                    <xsd:enumeration value="Sharon Burke"/>
                    <xsd:enumeration value="Shaun Doran"/>
                    <xsd:enumeration value="Shellfish Association of Great Britain"/>
                    <xsd:enumeration value="Shellfish Committee"/>
                    <xsd:enumeration value="Shipowner Ltd."/>
                    <xsd:enumeration value="Simon Mardle"/>
                    <xsd:enumeration value="Simon Potten"/>
                    <xsd:enumeration value="Simon Wadsworth"/>
                    <xsd:enumeration value="SINTEF Fisheries and Aquaculture"/>
                    <xsd:enumeration value="SK"/>
                    <xsd:enumeration value="SMillar"/>
                    <xsd:enumeration value="SMRU"/>
                    <xsd:enumeration value="SOAEFD"/>
                    <xsd:enumeration value="SOAFD"/>
                    <xsd:enumeration value="Solway Marine Oysters"/>
                    <xsd:enumeration value="Sophie des Clers"/>
                    <xsd:enumeration value="Sophy McCully"/>
                    <xsd:enumeration value="Stephen Lockwood"/>
                    <xsd:enumeration value="Steve Eayrs"/>
                    <xsd:enumeration value="Steve Lawrence"/>
                    <xsd:enumeration value="Steven Votier"/>
                    <xsd:enumeration value="Stirling University"/>
                    <xsd:enumeration value="Struan Noble"/>
                    <xsd:enumeration value="Stuart Masson"/>
                    <xsd:enumeration value="Sue Evans"/>
                    <xsd:enumeration value="Sue Utting"/>
                    <xsd:enumeration value="Susan Anton"/>
                    <xsd:enumeration value="Sussex Sea Fisheries District Committee"/>
                    <xsd:enumeration value="Suzi Pegg"/>
                    <xsd:enumeration value="Suzi Pegg-Darlison"/>
                    <xsd:enumeration value="Sven Koschinski/Meereszoologie"/>
                    <xsd:enumeration value="T.Abram"/>
                    <xsd:enumeration value="T.E.White"/>
                    <xsd:enumeration value="T.Eggett"/>
                    <xsd:enumeration value="T.Goodwin"/>
                    <xsd:enumeration value="T.Gross"/>
                    <xsd:enumeration value="T.H.Birkbeck"/>
                    <xsd:enumeration value="T.H.Porter"/>
                    <xsd:enumeration value="T.L Catchpole"/>
                    <xsd:enumeration value="T.Misson"/>
                    <xsd:enumeration value="T.O"/>
                    <xsd:enumeration value="T.Raylor"/>
                    <xsd:enumeration value="T.Rossiter"/>
                    <xsd:enumeration value="T.S.O"/>
                    <xsd:enumeration value="T.W"/>
                    <xsd:enumeration value="T.Wieland"/>
                    <xsd:enumeration value="T.Wray"/>
                    <xsd:enumeration value="Tara McCarthy"/>
                    <xsd:enumeration value="Tegen Mor Fisheries Consultants"/>
                    <xsd:enumeration value="The Fraser of Allander Institute for Research on the Scottish Economy"/>
                    <xsd:enumeration value="The National Health and Family Planning Commission of the People’s Republic of China"/>
                    <xsd:enumeration value="The Sea Fish Industry Authority"/>
                    <xsd:enumeration value="The Shellfish Association of Great Britain"/>
                    <xsd:enumeration value="Thomas Breithaupt"/>
                    <xsd:enumeration value="Thomas Clifford"/>
                    <xsd:enumeration value="Tim Huntingdon"/>
                    <xsd:enumeration value="Tom Catchpole"/>
                    <xsd:enumeration value="Tom Pickerell"/>
                    <xsd:enumeration value="Tom Rossiter"/>
                    <xsd:enumeration value="Tony Garthwaite"/>
                    <xsd:enumeration value="Tony Legg CIBiol MIBiol MIFM"/>
                    <xsd:enumeration value="Tristan Southall"/>
                    <xsd:enumeration value="Tsvetina Yordanova"/>
                    <xsd:enumeration value="UK Association of Frozen Food Producers"/>
                    <xsd:enumeration value="Ulrik Jes Hansen"/>
                    <xsd:enumeration value="University of Aberdeen, School of Biological Sciences"/>
                    <xsd:enumeration value="University of Hull"/>
                    <xsd:enumeration value="Unknown"/>
                    <xsd:enumeration value="V. Restrepo"/>
                    <xsd:enumeration value="Vericatch"/>
                    <xsd:enumeration value="Víctor Restrepo"/>
                    <xsd:enumeration value="W R Turrell"/>
                    <xsd:enumeration value="W.Brugge"/>
                    <xsd:enumeration value="W.D"/>
                    <xsd:enumeration value="W.Denton"/>
                    <xsd:enumeration value="W.E.Taylor"/>
                    <xsd:enumeration value="W.M.Broncke"/>
                    <xsd:enumeration value="W.O.C"/>
                    <xsd:enumeration value="W.Phillips"/>
                    <xsd:enumeration value="W.Roy"/>
                    <xsd:enumeration value="W.Siddle"/>
                    <xsd:enumeration value="W.Smith"/>
                    <xsd:enumeration value="W.Yu"/>
                    <xsd:enumeration value="Wade Whitelaw"/>
                    <xsd:enumeration value="Walter Crozier"/>
                    <xsd:enumeration value="WD"/>
                    <xsd:enumeration value="Welsh Fishing Safety Committee in collaboration with Seafish (EMFF funding via Welsh Government)"/>
                    <xsd:enumeration value="WFA Industrial Development Unit"/>
                    <xsd:enumeration value="Wilber R. Seidel"/>
                    <xsd:enumeration value="William Lart"/>
                    <xsd:enumeration value="WS"/>
                    <xsd:enumeration value="Xiao Chen"/>
                    <xsd:enumeration value="Xiaowei Shi"/>
                    <xsd:enumeration value="Yang Huifen"/>
                    <xsd:enumeration value="Yolanda Corripio Miyar"/>
                    <xsd:enumeration value="Youngs Sea Foods"/>
                    <xsd:enumeration value="Yuan Aiping"/>
                    <xsd:enumeration value="Z.Wu"/>
                    <xsd:enumeration value="Zoe Healey"/>
                  </xsd:restriction>
                </xsd:simpleType>
              </xsd:element>
            </xsd:sequence>
          </xsd:extension>
        </xsd:complexContent>
      </xsd:complexType>
    </xsd:element>
    <xsd:element name="MediaFormatOld" ma:index="7" nillable="true" ma:displayName="Media Format Old" ma:internalName="MediaFormatOld">
      <xsd:simpleType>
        <xsd:restriction base="dms:Text"/>
      </xsd:simpleType>
    </xsd:element>
    <xsd:element name="PublicationRefNo" ma:index="8" nillable="true" ma:displayName="Publication Reference Number" ma:internalName="PublicationRefNo">
      <xsd:simpleType>
        <xsd:restriction base="dms:Text"/>
      </xsd:simpleType>
    </xsd:element>
    <xsd:element name="ISBN" ma:index="9" nillable="true" ma:displayName="ISBN" ma:internalName="ISBN">
      <xsd:simpleType>
        <xsd:restriction base="dms:Text"/>
      </xsd:simpleType>
    </xsd:element>
    <xsd:element name="LegacyId" ma:index="10" nillable="true" ma:displayName="Legacy Id" ma:hidden="true" ma:internalName="LegacyId" ma:readOnly="false">
      <xsd:simpleType>
        <xsd:restriction base="dms:Text"/>
      </xsd:simpleType>
    </xsd:element>
    <xsd:element name="PubMonth" ma:index="11" nillable="true" ma:displayName="Publication Month" ma:hidden="true" ma:internalName="PubMonth" ma:readOnly="false">
      <xsd:simpleType>
        <xsd:restriction base="dms:Text"/>
      </xsd:simpleType>
    </xsd:element>
    <xsd:element name="PubYear" ma:index="12" nillable="true" ma:displayName="Publication Year" ma:hidden="true" ma:indexed="true" ma:internalName="PubYear">
      <xsd:simpleType>
        <xsd:restriction base="dms:Text"/>
      </xsd:simpleType>
    </xsd:element>
    <xsd:element name="MediaFormat" ma:index="13" nillable="true" ma:displayName="Media Format" ma:default="" ma:format="Dropdown" ma:internalName="MediaFormat">
      <xsd:simpleType>
        <xsd:restriction base="dms:Choice">
          <xsd:enumeration value="Download"/>
          <xsd:enumeration value="CD"/>
          <xsd:enumeration value="Web Page"/>
          <xsd:enumeration value="Paper"/>
          <xsd:enumeration value="Booklet or leaflet"/>
          <xsd:enumeration value="Other"/>
          <xsd:enumeration value="Not known"/>
          <xsd:enumeration value="Book"/>
          <xsd:enumeration value="Video"/>
          <xsd:enumeration value="Manual"/>
          <xsd:enumeration value="Open learning module"/>
          <xsd:enumeration value="Distance learning pack"/>
          <xsd:enumeration value="OLM with video"/>
          <xsd:enumeration value="DVD"/>
        </xsd:restriction>
      </xsd:simpleType>
    </xsd:element>
    <xsd:element name="DocumentAdded" ma:index="14" ma:displayName="Added" ma:format="DateOnly" ma:indexed="true" ma:internalName="DocumentAdded">
      <xsd:simpleType>
        <xsd:restriction base="dms:DateTime"/>
      </xsd:simpleType>
    </xsd:element>
    <xsd:element name="DocumentStatus" ma:index="15" nillable="true" ma:displayName="Document Status" ma:default="Unpublished" ma:format="Dropdown" ma:indexed="true" ma:internalName="DocumentStatus">
      <xsd:simpleType>
        <xsd:restriction base="dms:Choice">
          <xsd:enumeration value="Deleted"/>
          <xsd:enumeration value="Unpublished"/>
          <xsd:enumeration value="Published"/>
          <xsd:enumeration value="Archived"/>
        </xsd:restriction>
      </xsd:simple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4c1e97c-7a75-4aca-9712-5efb9ef450ab"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AutoTags" ma:index="28" nillable="true" ma:displayName="Tags" ma:internalName="MediaServiceAutoTags" ma:readOnly="true">
      <xsd:simpleType>
        <xsd:restriction base="dms:Text"/>
      </xsd:simple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ObjectDetectorVersions" ma:index="3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Year xmlns="cebd32e3-9ab6-41ee-b1af-b8405a8d4e68" xsi:nil="true"/>
    <MediaFormatOld xmlns="cebd32e3-9ab6-41ee-b1af-b8405a8d4e68">Excel Spreadsheet</MediaFormatOld>
    <DocumentTopic xmlns="cebd32e3-9ab6-41ee-b1af-b8405a8d4e68">
      <Value>Economics and Business</Value>
      <Value>Factsheet/Datasheet</Value>
    </DocumentTopic>
    <ISBN xmlns="cebd32e3-9ab6-41ee-b1af-b8405a8d4e68" xsi:nil="true"/>
    <DocumentStatus xmlns="cebd32e3-9ab6-41ee-b1af-b8405a8d4e68">Published</DocumentStatus>
    <PublicationDate xmlns="cebd32e3-9ab6-41ee-b1af-b8405a8d4e68">2021-11-30T00:00:00+00:00</PublicationDate>
    <PubMonth xmlns="cebd32e3-9ab6-41ee-b1af-b8405a8d4e68" xsi:nil="true"/>
    <DocumentAdded xmlns="cebd32e3-9ab6-41ee-b1af-b8405a8d4e68">2021-11-30T00:00:00+00:00</DocumentAdded>
    <PublicationRefNo xmlns="cebd32e3-9ab6-41ee-b1af-b8405a8d4e68" xsi:nil="true"/>
    <DocumentAuthors xmlns="cebd32e3-9ab6-41ee-b1af-b8405a8d4e68">
      <Value>Arina Motova</Value>
    </DocumentAuthors>
    <LegacyId xmlns="cebd32e3-9ab6-41ee-b1af-b8405a8d4e68" xsi:nil="true"/>
    <DocumentSummary xmlns="cebd32e3-9ab6-41ee-b1af-b8405a8d4e68">This dataset presents data on annual economic performance for the UK fishing fleet from 2010 to 2020. The estimates are calculated based on samples of fishing costs and earnings gathered by Seafish as part of the 2019 Annual Fleet Economic Survey.</DocumentSummary>
    <MediaFormat xmlns="cebd32e3-9ab6-41ee-b1af-b8405a8d4e68">Download</MediaFormat>
  </documentManagement>
</p:properties>
</file>

<file path=customXml/itemProps1.xml><?xml version="1.0" encoding="utf-8"?>
<ds:datastoreItem xmlns:ds="http://schemas.openxmlformats.org/officeDocument/2006/customXml" ds:itemID="{1FEA8E3E-134A-4F60-89BF-CB022D692369}"/>
</file>

<file path=customXml/itemProps2.xml><?xml version="1.0" encoding="utf-8"?>
<ds:datastoreItem xmlns:ds="http://schemas.openxmlformats.org/officeDocument/2006/customXml" ds:itemID="{856D6653-9384-47F2-A8C6-FF204B43E6B4}"/>
</file>

<file path=customXml/itemProps3.xml><?xml version="1.0" encoding="utf-8"?>
<ds:datastoreItem xmlns:ds="http://schemas.openxmlformats.org/officeDocument/2006/customXml" ds:itemID="{6BAA6B59-C335-4900-89BE-39A737498AB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Multi annual UK fishing fleet estimates 2010 - 2020</dc:title>
  <dc:subject/>
  <dc:creator>Marta Moran-Quintana</dc:creator>
  <cp:keywords/>
  <dc:description/>
  <cp:lastModifiedBy>Christy Cunningham</cp:lastModifiedBy>
  <cp:revision/>
  <dcterms:created xsi:type="dcterms:W3CDTF">2021-11-29T12:10:46Z</dcterms:created>
  <dcterms:modified xsi:type="dcterms:W3CDTF">2023-03-02T15:47:09Z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0x010100FBC0F8BFD01A91498CA7837A71EEDFDB0100D8D74AD133DD5E4C9488BA264812959E</vt:lpwstr>
  </property>
</Properties>
</file>